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Klaudija\Desktop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4000" windowHeight="10320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H39" i="25" l="1"/>
  <c r="K36" i="17" l="1"/>
  <c r="K59" i="17"/>
  <c r="L59" i="17"/>
  <c r="J79" i="17" l="1"/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R305" i="17" l="1"/>
  <c r="R306" i="17"/>
  <c r="R307" i="17"/>
  <c r="R308" i="17"/>
  <c r="R309" i="17"/>
  <c r="R310" i="17"/>
  <c r="R311" i="17"/>
  <c r="R312" i="17"/>
  <c r="R313" i="17"/>
  <c r="R314" i="17"/>
  <c r="R315" i="17"/>
  <c r="R316" i="17"/>
  <c r="R317" i="17"/>
  <c r="R318" i="17"/>
  <c r="R319" i="17"/>
  <c r="R320" i="17"/>
  <c r="R321" i="17"/>
  <c r="R322" i="17"/>
  <c r="R323" i="17"/>
  <c r="R324" i="17"/>
  <c r="R325" i="17"/>
  <c r="R326" i="17"/>
  <c r="R327" i="17"/>
  <c r="R328" i="17"/>
  <c r="R329" i="17"/>
  <c r="R330" i="17"/>
  <c r="R331" i="17"/>
  <c r="R332" i="17"/>
  <c r="R333" i="17"/>
  <c r="R334" i="17"/>
  <c r="R335" i="17"/>
  <c r="R336" i="17"/>
  <c r="R337" i="17"/>
  <c r="R338" i="17"/>
  <c r="R339" i="17"/>
  <c r="R340" i="17"/>
  <c r="R341" i="17"/>
  <c r="R342" i="17"/>
  <c r="R343" i="17"/>
  <c r="R344" i="17"/>
  <c r="R345" i="17"/>
  <c r="R346" i="17"/>
  <c r="R347" i="17"/>
  <c r="R348" i="17"/>
  <c r="R349" i="17"/>
  <c r="R350" i="17"/>
  <c r="R351" i="17"/>
  <c r="R352" i="17"/>
  <c r="R353" i="17"/>
  <c r="R354" i="17"/>
  <c r="R355" i="17"/>
  <c r="R356" i="17"/>
  <c r="R357" i="17"/>
  <c r="R358" i="17"/>
  <c r="R359" i="17"/>
  <c r="R360" i="17"/>
  <c r="R361" i="17"/>
  <c r="R362" i="17"/>
  <c r="R363" i="17"/>
  <c r="R364" i="17"/>
  <c r="R365" i="17"/>
  <c r="R366" i="17"/>
  <c r="R367" i="17"/>
  <c r="R368" i="17"/>
  <c r="R369" i="17"/>
  <c r="R370" i="17"/>
  <c r="R371" i="17"/>
  <c r="R372" i="17"/>
  <c r="R373" i="17"/>
  <c r="R374" i="17"/>
  <c r="R375" i="17"/>
  <c r="R376" i="17"/>
  <c r="R377" i="17"/>
  <c r="R378" i="17"/>
  <c r="R379" i="17"/>
  <c r="R380" i="17"/>
  <c r="R381" i="17"/>
  <c r="R382" i="17"/>
  <c r="R383" i="17"/>
  <c r="R384" i="17"/>
  <c r="R385" i="17"/>
  <c r="R386" i="17"/>
  <c r="R387" i="17"/>
  <c r="R388" i="17"/>
  <c r="R389" i="17"/>
  <c r="R390" i="17"/>
  <c r="R391" i="17"/>
  <c r="R392" i="17"/>
  <c r="R393" i="17"/>
  <c r="R394" i="17"/>
  <c r="R395" i="17"/>
  <c r="R396" i="17"/>
  <c r="R397" i="17"/>
  <c r="R398" i="17"/>
  <c r="R399" i="17"/>
  <c r="R400" i="17"/>
  <c r="R401" i="17"/>
  <c r="R402" i="17"/>
  <c r="R403" i="17"/>
  <c r="R404" i="17"/>
  <c r="R405" i="17"/>
  <c r="R406" i="17"/>
  <c r="R407" i="17"/>
  <c r="R408" i="17"/>
  <c r="R409" i="17"/>
  <c r="R410" i="17"/>
  <c r="R411" i="17"/>
  <c r="R412" i="17"/>
  <c r="R413" i="17"/>
  <c r="R414" i="17"/>
  <c r="R415" i="17"/>
  <c r="R416" i="17"/>
  <c r="R417" i="17"/>
  <c r="R418" i="17"/>
  <c r="R419" i="17"/>
  <c r="R420" i="17"/>
  <c r="R421" i="17"/>
  <c r="R422" i="17"/>
  <c r="R423" i="17"/>
  <c r="R424" i="17"/>
  <c r="R425" i="17"/>
  <c r="R426" i="17"/>
  <c r="R427" i="17"/>
  <c r="R428" i="17"/>
  <c r="R429" i="17"/>
  <c r="R430" i="17"/>
  <c r="R431" i="17"/>
  <c r="R432" i="17"/>
  <c r="R433" i="17"/>
  <c r="R434" i="17"/>
  <c r="R435" i="17"/>
  <c r="R436" i="17"/>
  <c r="R437" i="17"/>
  <c r="R438" i="17"/>
  <c r="R439" i="17"/>
  <c r="R440" i="17"/>
  <c r="R441" i="17"/>
  <c r="R442" i="17"/>
  <c r="R443" i="17"/>
  <c r="R444" i="17"/>
  <c r="R445" i="17"/>
  <c r="R446" i="17"/>
  <c r="R447" i="17"/>
  <c r="R448" i="17"/>
  <c r="R449" i="17"/>
  <c r="R450" i="17"/>
  <c r="R451" i="17"/>
  <c r="R452" i="17"/>
  <c r="R453" i="17"/>
  <c r="R454" i="17"/>
  <c r="R455" i="17"/>
  <c r="R456" i="17"/>
  <c r="R457" i="17"/>
  <c r="R458" i="17"/>
  <c r="R459" i="17"/>
  <c r="R460" i="17"/>
  <c r="R461" i="17"/>
  <c r="R462" i="17"/>
  <c r="R463" i="17"/>
  <c r="R464" i="17"/>
  <c r="R465" i="17"/>
  <c r="R466" i="17"/>
  <c r="R467" i="17"/>
  <c r="R468" i="17"/>
  <c r="R469" i="17"/>
  <c r="R470" i="17"/>
  <c r="R471" i="17"/>
  <c r="R472" i="17"/>
  <c r="R473" i="17"/>
  <c r="R474" i="17"/>
  <c r="R475" i="17"/>
  <c r="R476" i="17"/>
  <c r="R477" i="17"/>
  <c r="R478" i="17"/>
  <c r="R479" i="17"/>
  <c r="R480" i="17"/>
  <c r="R481" i="17"/>
  <c r="R482" i="17"/>
  <c r="R483" i="17"/>
  <c r="R484" i="17"/>
  <c r="R485" i="17"/>
  <c r="R486" i="17"/>
  <c r="R487" i="17"/>
  <c r="R488" i="17"/>
  <c r="R489" i="17"/>
  <c r="R490" i="17"/>
  <c r="R491" i="17"/>
  <c r="R492" i="17"/>
  <c r="R493" i="17"/>
  <c r="R494" i="17"/>
  <c r="R495" i="17"/>
  <c r="R496" i="17"/>
  <c r="R497" i="17"/>
  <c r="R498" i="17"/>
  <c r="R499" i="17"/>
  <c r="R500" i="17"/>
  <c r="R501" i="17"/>
  <c r="G10" i="25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E66" i="33" l="1"/>
  <c r="D45" i="33"/>
  <c r="C21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29" i="32"/>
  <c r="E28" i="32" s="1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V25" i="34" s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J25" i="34" s="1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6" i="32" l="1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5" i="32"/>
  <c r="E14" i="32" s="1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<sst xmlns="http://schemas.openxmlformats.org/spreadsheetml/2006/main" count="13913" uniqueCount="5294">
  <si>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</si>
  <si>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</si>
  <si>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</si>
  <si>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</si>
  <si>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</si>
  <si>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</si>
  <si>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</si>
  <si>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</si>
  <si>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</si>
  <si>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</si>
  <si>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</si>
  <si>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</si>
  <si>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</si>
  <si>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</si>
  <si>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</si>
  <si>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</si>
  <si>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</si>
  <si>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</si>
  <si>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</si>
  <si>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</si>
  <si>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</si>
  <si>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</si>
  <si>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</si>
  <si>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</si>
  <si>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</si>
  <si>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</si>
  <si>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</si>
  <si>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</si>
  <si>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</si>
  <si>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</si>
  <si>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</si>
  <si>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</si>
  <si>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</si>
  <si>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</si>
  <si>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</si>
  <si>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</si>
  <si>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</si>
  <si>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</si>
  <si>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</si>
  <si>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</si>
  <si>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</si>
  <si>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</si>
  <si>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</si>
  <si>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</si>
  <si>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</si>
  <si>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</si>
  <si>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</si>
  <si>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</si>
  <si>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</si>
  <si>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</si>
  <si>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</si>
  <si>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</si>
  <si>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</si>
  <si>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</si>
  <si>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</si>
  <si>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</si>
  <si>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</si>
  <si>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</si>
  <si>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</si>
  <si>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</si>
  <si>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</si>
  <si>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</si>
  <si>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</si>
  <si>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</si>
  <si>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</si>
  <si>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</si>
  <si>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</si>
  <si>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</si>
  <si>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</si>
  <si>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</si>
  <si>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</si>
  <si>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</si>
  <si>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</si>
  <si>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</si>
  <si>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</si>
  <si>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</si>
  <si>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</si>
  <si>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</si>
  <si>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</si>
  <si>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</si>
  <si>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</si>
  <si>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</si>
  <si>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</si>
  <si>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</si>
  <si>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</si>
  <si>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</si>
  <si>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</si>
  <si>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</si>
  <si>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</si>
  <si>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</si>
  <si>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</si>
  <si>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</si>
  <si>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</si>
  <si>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</si>
  <si>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</si>
  <si>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</si>
  <si>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</si>
  <si>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</si>
  <si>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</si>
  <si>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</si>
  <si>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</si>
  <si>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</si>
  <si>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</si>
  <si>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</si>
  <si>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</si>
  <si>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</si>
  <si>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</si>
  <si>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</si>
  <si>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</si>
  <si>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</si>
  <si>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</si>
  <si>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</si>
  <si>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</si>
  <si>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</si>
  <si>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</si>
  <si>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</si>
  <si>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</si>
  <si>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</si>
  <si>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</si>
  <si>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</si>
  <si>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</si>
  <si>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</si>
  <si>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</si>
  <si>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</si>
  <si>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</si>
  <si>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</si>
  <si>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</si>
  <si>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</si>
  <si>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</si>
  <si>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</si>
  <si>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</si>
  <si>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</si>
  <si>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</si>
  <si>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</si>
  <si>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</si>
  <si>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</si>
  <si>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</si>
  <si>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</si>
  <si>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</si>
  <si>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</si>
  <si>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</si>
  <si>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</si>
  <si>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</si>
  <si>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</si>
  <si>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</si>
  <si>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</si>
  <si>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</si>
  <si>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</si>
  <si>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</si>
  <si>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</si>
  <si>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</si>
  <si>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</si>
  <si>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</si>
  <si>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</si>
  <si>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</si>
  <si>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</si>
  <si>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</si>
  <si>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</si>
  <si>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</si>
  <si>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</si>
  <si>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</si>
  <si>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</si>
  <si>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</si>
  <si>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</si>
  <si>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</si>
  <si>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</si>
  <si>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</si>
  <si>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</si>
  <si>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</si>
  <si>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</si>
  <si>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</si>
  <si>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</si>
  <si>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</si>
  <si>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</si>
  <si>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</si>
  <si>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</si>
  <si>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</si>
  <si>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</si>
  <si>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</si>
  <si>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</si>
  <si>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</si>
  <si>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</si>
  <si>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</si>
  <si>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</si>
  <si>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</si>
  <si>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</si>
  <si>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</si>
  <si>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</si>
  <si>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</si>
  <si>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</si>
  <si>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</si>
  <si>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</si>
  <si>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</si>
  <si>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</si>
  <si>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</si>
  <si>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</si>
  <si>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</si>
  <si>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</si>
  <si>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</si>
  <si>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</si>
  <si>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</si>
  <si>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</si>
  <si>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</si>
  <si>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</si>
  <si>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</si>
  <si>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</si>
  <si>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</si>
  <si>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</si>
  <si>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</si>
  <si>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</si>
  <si>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</si>
  <si>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</si>
  <si>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</si>
  <si>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</si>
  <si>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</si>
  <si>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</si>
  <si>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</si>
  <si>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</si>
  <si>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</si>
  <si>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</si>
  <si>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</si>
  <si>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</si>
  <si>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</si>
  <si>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</si>
  <si>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</si>
  <si>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</si>
  <si>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</si>
  <si>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</si>
  <si>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</si>
  <si>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</si>
  <si>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</si>
  <si>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</si>
  <si>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</si>
  <si>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</si>
  <si>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</si>
  <si>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</si>
  <si>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</si>
  <si>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</si>
  <si>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</si>
  <si>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</si>
  <si>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</si>
  <si>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</si>
  <si>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</si>
  <si>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</si>
  <si>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</si>
  <si>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</si>
  <si>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</si>
  <si>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</si>
  <si>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</si>
  <si>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</si>
  <si>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</si>
  <si>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</si>
  <si>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</si>
  <si>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</si>
  <si>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</si>
  <si>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</si>
  <si>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</si>
  <si>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</si>
  <si>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</si>
  <si>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</si>
  <si>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</si>
  <si>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</si>
  <si>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</si>
  <si>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</si>
  <si>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</si>
  <si>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</si>
  <si>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</si>
  <si>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</si>
  <si>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</si>
  <si>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</si>
  <si>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</si>
  <si>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</si>
  <si>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</si>
  <si>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</si>
  <si>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</si>
  <si>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</si>
  <si>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</si>
  <si>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</si>
  <si>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</si>
  <si>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</si>
  <si>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</si>
  <si>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</si>
  <si>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</si>
  <si>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</si>
  <si>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</si>
  <si>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</si>
  <si>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</si>
  <si>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</si>
  <si>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</si>
  <si>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</si>
  <si>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</si>
  <si>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</si>
  <si>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</si>
  <si>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</si>
  <si>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</si>
  <si>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</si>
  <si>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</si>
  <si>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</si>
  <si>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</si>
  <si>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</si>
  <si>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</si>
  <si>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</si>
  <si>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</si>
  <si>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</si>
  <si>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</si>
  <si>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</si>
  <si>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</si>
  <si>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</si>
  <si>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</si>
  <si>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</si>
  <si>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</si>
  <si>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</si>
  <si>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</si>
  <si>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</si>
  <si>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</si>
  <si>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</si>
  <si>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</si>
  <si>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</si>
  <si>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</si>
  <si>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</si>
  <si>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</si>
  <si>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</si>
  <si>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</si>
  <si>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</si>
  <si>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</si>
  <si>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</si>
  <si>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</si>
  <si>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</si>
  <si>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</si>
  <si>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</si>
  <si>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</si>
  <si>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</si>
  <si>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</si>
  <si>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</si>
  <si>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</si>
  <si>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</si>
  <si>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</si>
  <si>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</si>
  <si>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</si>
  <si>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</si>
  <si>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</si>
  <si>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</si>
  <si>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</si>
  <si>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</si>
  <si>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</si>
  <si>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</si>
  <si>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</si>
  <si>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</si>
  <si>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</si>
  <si>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</si>
  <si>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</si>
  <si>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</si>
  <si>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</si>
  <si>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</si>
  <si>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</si>
  <si>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</si>
  <si>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</si>
  <si>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</si>
  <si>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</si>
  <si>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</si>
  <si>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</si>
  <si>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</si>
  <si>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</si>
  <si>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</si>
  <si>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</si>
  <si>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</si>
  <si>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</si>
  <si>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</si>
  <si>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</si>
  <si>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</si>
  <si>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</si>
  <si>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</si>
  <si>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</si>
  <si>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</si>
  <si>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</si>
  <si>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</si>
  <si>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</si>
  <si>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</si>
  <si>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</si>
  <si>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</si>
  <si>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</si>
  <si>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</si>
  <si>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</si>
  <si>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</si>
  <si>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</si>
  <si>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</si>
  <si>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</si>
  <si>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</si>
  <si>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</si>
  <si>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</si>
  <si>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</si>
  <si>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</si>
  <si>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</si>
  <si>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</si>
  <si>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</si>
  <si>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</si>
  <si>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</si>
  <si>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</si>
  <si>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</si>
  <si>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</si>
  <si>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</si>
  <si>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</si>
  <si>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</si>
  <si>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</si>
  <si>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</si>
  <si>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</si>
  <si>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</si>
  <si>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</si>
  <si>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</si>
  <si>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</si>
  <si>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</si>
  <si>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</si>
  <si>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</si>
  <si>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</si>
  <si>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</si>
  <si>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</si>
  <si>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</si>
  <si>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</si>
  <si>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</si>
  <si>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</si>
  <si>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</si>
  <si>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</si>
  <si>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</si>
  <si>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</si>
  <si>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</si>
  <si>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</si>
  <si>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</si>
  <si>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</si>
  <si>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</si>
  <si>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</si>
  <si>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</si>
  <si>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</si>
  <si>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</si>
  <si>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</si>
  <si>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</si>
  <si>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</si>
  <si>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</si>
  <si>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</si>
  <si>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</si>
  <si>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</si>
  <si>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</si>
  <si>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</si>
  <si>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</si>
  <si>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</si>
  <si>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</si>
  <si>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</si>
  <si>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</si>
  <si>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</si>
  <si>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</si>
  <si>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</si>
  <si>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</si>
  <si>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</si>
  <si>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</si>
  <si>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</si>
  <si>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</si>
  <si>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</si>
  <si>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</si>
  <si>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</si>
  <si>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</si>
  <si>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</si>
  <si>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</si>
  <si>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</si>
  <si>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</si>
  <si>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</si>
  <si>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</si>
  <si>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</si>
  <si>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</si>
  <si>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</si>
  <si>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</si>
  <si>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</si>
  <si>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</si>
  <si>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</si>
  <si>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</si>
  <si>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</si>
  <si>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</si>
  <si>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</si>
  <si>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</si>
  <si>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</si>
  <si>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</si>
  <si>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</si>
  <si>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</si>
  <si>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</si>
  <si>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</si>
  <si>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</si>
  <si>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</si>
  <si>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</si>
  <si>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</si>
  <si>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</si>
  <si>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</si>
  <si>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</si>
  <si>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</si>
  <si>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</si>
  <si>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</si>
  <si>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</si>
  <si>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</si>
  <si>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</si>
  <si>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</si>
  <si>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</si>
  <si>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</si>
  <si>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</si>
  <si>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</si>
  <si>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</si>
  <si>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</si>
  <si>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</si>
  <si>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</si>
  <si>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</si>
  <si>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</si>
  <si>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</si>
  <si>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</si>
  <si>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</si>
  <si>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</si>
  <si>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</si>
  <si>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</si>
  <si>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</si>
  <si>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</si>
  <si>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</si>
  <si>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</si>
  <si>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</si>
  <si>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</si>
  <si>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</si>
  <si>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</si>
  <si>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</si>
  <si>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</si>
  <si>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</si>
  <si>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</si>
  <si>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</si>
  <si>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</si>
  <si>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</si>
  <si>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</si>
  <si>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</si>
  <si>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</si>
  <si>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</si>
  <si>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</si>
  <si>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</si>
  <si>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</si>
  <si>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</si>
  <si>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</si>
  <si>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</si>
  <si>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</si>
  <si>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</si>
  <si>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</si>
  <si>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</si>
  <si>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</si>
  <si>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</si>
  <si>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</si>
  <si>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</si>
  <si>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</si>
  <si>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</si>
  <si>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</si>
  <si>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</si>
  <si>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</si>
  <si>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</si>
  <si>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</si>
  <si>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</si>
  <si>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</si>
  <si>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</si>
  <si>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</si>
  <si>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</si>
  <si>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</si>
  <si>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</si>
  <si>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</si>
  <si>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</si>
  <si>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</si>
  <si>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</si>
  <si>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</si>
  <si>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</si>
  <si>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</si>
  <si>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</si>
  <si>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</si>
  <si>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</si>
  <si>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</si>
  <si>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</si>
  <si>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</si>
  <si>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</si>
  <si>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</si>
  <si>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</si>
  <si>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</si>
  <si>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</si>
  <si>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</si>
  <si>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</si>
  <si>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</si>
  <si>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</si>
  <si>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</si>
  <si>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</si>
  <si>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</si>
  <si>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</si>
  <si>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</si>
  <si>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</si>
  <si>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</si>
  <si>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</si>
  <si>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</si>
  <si>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</si>
  <si>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</si>
  <si>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</si>
  <si>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</si>
  <si>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</si>
  <si>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</si>
  <si>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</si>
  <si>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</si>
  <si>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</si>
  <si>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</si>
  <si>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</si>
  <si>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</si>
  <si>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</si>
  <si>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</si>
  <si>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</si>
  <si>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</si>
  <si>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</si>
  <si>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</si>
  <si>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</si>
  <si>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</si>
  <si>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</si>
  <si>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</si>
  <si>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</si>
  <si>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</si>
  <si>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</si>
  <si>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</si>
  <si>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</si>
  <si>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</si>
  <si>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</si>
  <si>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</si>
  <si>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</si>
  <si>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</si>
  <si>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</si>
  <si>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</si>
  <si>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</si>
  <si>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</si>
  <si>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</si>
  <si>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</si>
  <si>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</si>
  <si>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</si>
  <si>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</si>
  <si>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</si>
  <si>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</si>
  <si>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</si>
  <si>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</si>
  <si>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</si>
  <si>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</si>
  <si>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</si>
  <si>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</si>
  <si>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</si>
  <si>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</si>
  <si>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</si>
  <si>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</si>
  <si>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</si>
  <si>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</si>
  <si>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</si>
  <si>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</si>
  <si>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</si>
  <si>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</si>
  <si>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</si>
  <si>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</si>
  <si>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</si>
  <si>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</si>
  <si>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</si>
  <si>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</si>
  <si>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</si>
  <si>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</si>
  <si>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</si>
  <si>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</si>
  <si>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</si>
  <si>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</si>
  <si>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</si>
  <si>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</si>
  <si>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</si>
  <si>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</si>
  <si>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</si>
  <si>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</si>
  <si>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</si>
  <si>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</si>
  <si>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</si>
  <si>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</si>
  <si>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</si>
  <si>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</si>
  <si>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</si>
  <si>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</si>
  <si>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</si>
  <si>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</si>
  <si>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</si>
  <si>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</si>
  <si>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</si>
  <si>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</si>
  <si>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</si>
  <si>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</si>
  <si>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</si>
  <si>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</si>
  <si>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</si>
  <si>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</si>
  <si>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</si>
  <si>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</si>
  <si>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</si>
  <si>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</si>
  <si>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</si>
  <si>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</si>
  <si>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</si>
  <si>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</si>
  <si>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</si>
  <si>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</si>
  <si>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</si>
  <si>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</si>
  <si>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</si>
  <si>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</si>
  <si>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</si>
  <si>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</si>
  <si>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</si>
  <si>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</si>
  <si>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</si>
  <si>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</si>
  <si>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</si>
  <si>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</si>
  <si>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</si>
  <si>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</si>
  <si>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</si>
  <si>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</si>
  <si>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</si>
  <si>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</si>
  <si>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</si>
  <si>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</si>
  <si>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</si>
  <si>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</si>
  <si>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</si>
  <si>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</si>
  <si>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</si>
  <si>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</si>
  <si>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</si>
  <si>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</si>
  <si>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</si>
  <si>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</si>
  <si>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</si>
  <si>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</si>
  <si>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</si>
  <si>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</si>
  <si>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</si>
  <si>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</si>
  <si>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</si>
  <si>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</si>
  <si>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</si>
  <si>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</si>
  <si>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</si>
  <si>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</si>
  <si>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</si>
  <si>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</si>
  <si>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</si>
  <si>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</si>
  <si>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</si>
  <si>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</si>
  <si>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</si>
  <si>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</si>
  <si>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</si>
  <si>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</si>
  <si>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</si>
  <si>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</si>
  <si>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</si>
  <si>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</si>
  <si>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</si>
  <si>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</si>
  <si>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</si>
  <si>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</si>
  <si>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</si>
  <si>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</si>
  <si>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</si>
  <si>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</si>
  <si>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</si>
  <si>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</si>
  <si>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</si>
  <si>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</si>
  <si>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</si>
  <si>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</si>
  <si>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</si>
  <si>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</si>
  <si>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</si>
  <si>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</si>
  <si>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</si>
  <si>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</si>
  <si>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</si>
  <si>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</si>
  <si>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</si>
  <si>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</si>
  <si>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</si>
  <si>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</si>
  <si>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</si>
  <si>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</si>
  <si>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</si>
  <si>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</si>
  <si>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</si>
  <si>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</si>
  <si>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</si>
  <si>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</si>
  <si>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</si>
  <si>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</si>
  <si>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</si>
  <si>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</si>
  <si>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</si>
  <si>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</si>
  <si>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</si>
  <si>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</si>
  <si>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</si>
  <si>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</si>
  <si>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</si>
  <si>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</si>
  <si>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</si>
  <si>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</si>
  <si>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</si>
  <si>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</si>
  <si>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</si>
  <si>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</si>
  <si>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</si>
  <si>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</si>
  <si>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</si>
  <si>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</si>
  <si>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</si>
  <si>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</si>
  <si>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</si>
  <si>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</si>
  <si>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</si>
  <si>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</si>
  <si>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</si>
  <si>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</si>
  <si>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</si>
  <si>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</si>
  <si>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</si>
  <si>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</si>
  <si>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</si>
  <si>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</si>
  <si>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</si>
  <si>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</si>
  <si>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</si>
  <si>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</si>
  <si>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</si>
  <si>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</si>
  <si>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</si>
  <si>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</si>
  <si>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</si>
  <si>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</si>
  <si>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</si>
  <si>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</si>
  <si>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</si>
  <si>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</si>
  <si>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</si>
  <si>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</si>
  <si>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</si>
  <si>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</si>
  <si>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</si>
  <si>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</si>
  <si>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</si>
  <si>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</si>
  <si>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</si>
  <si>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</si>
  <si>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</si>
  <si>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</si>
  <si>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</si>
  <si>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</si>
  <si>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</si>
  <si>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</si>
  <si>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</si>
  <si>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</si>
  <si>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</si>
  <si>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</si>
  <si>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</si>
  <si>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</si>
  <si>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</si>
  <si>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</si>
  <si>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</si>
  <si>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</si>
  <si>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</si>
  <si>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</si>
  <si>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</si>
  <si>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</si>
  <si>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</si>
  <si>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</si>
  <si>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</si>
  <si>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</si>
  <si>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</si>
  <si>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</si>
  <si>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</si>
  <si>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</si>
  <si>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</si>
  <si>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</si>
  <si>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</si>
  <si>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</si>
  <si>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</si>
  <si>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</si>
  <si>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</si>
  <si>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</si>
  <si>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</si>
  <si>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</si>
  <si>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</si>
  <si>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</si>
  <si>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</si>
  <si>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</si>
  <si>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</si>
  <si>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</si>
  <si>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</si>
  <si>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</si>
  <si>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</si>
  <si>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</si>
  <si>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</si>
  <si>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</si>
  <si>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</si>
  <si>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</si>
  <si>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</si>
  <si>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</si>
  <si>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</si>
  <si>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</si>
  <si>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</si>
  <si>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</si>
  <si>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</si>
  <si>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</si>
  <si>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</si>
  <si>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</si>
  <si>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</si>
  <si>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</si>
  <si>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</si>
  <si>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</si>
  <si>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</si>
  <si>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</si>
  <si>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</si>
  <si>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</si>
  <si>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</si>
  <si>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</si>
  <si>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</si>
  <si>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</si>
  <si>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</si>
  <si>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</si>
  <si>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</si>
  <si>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</si>
  <si>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</si>
  <si>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</si>
  <si>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</si>
  <si>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</si>
  <si>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</si>
  <si>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</si>
  <si>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</si>
  <si>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</si>
  <si>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</si>
  <si>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</si>
  <si>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</si>
  <si>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</si>
  <si>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</si>
  <si>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</si>
  <si>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</si>
  <si>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</si>
  <si>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</si>
  <si>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</si>
  <si>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</si>
  <si>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</si>
  <si>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</si>
  <si>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</si>
  <si>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</si>
  <si>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</si>
  <si>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</si>
  <si>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</si>
  <si>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</si>
  <si>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</si>
  <si>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</si>
  <si>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</si>
  <si>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</si>
  <si>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</si>
  <si>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</si>
  <si>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</si>
  <si>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</si>
  <si>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</si>
  <si>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</si>
  <si>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</si>
  <si>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</si>
  <si>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</si>
  <si>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</si>
  <si>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</si>
  <si>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</si>
  <si>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</si>
  <si>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</si>
  <si>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</si>
  <si>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</si>
  <si>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</si>
  <si>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</si>
  <si>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</si>
  <si>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</si>
  <si>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</si>
  <si>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</si>
  <si>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</si>
  <si>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</si>
  <si>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</si>
  <si>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</si>
  <si>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</si>
  <si>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</si>
  <si>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</si>
  <si>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</si>
  <si>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</si>
  <si>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</si>
  <si>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</si>
  <si>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</si>
  <si>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</si>
  <si>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</si>
  <si>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</si>
  <si>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</si>
  <si>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</si>
  <si>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</si>
  <si>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</si>
  <si>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</si>
  <si>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</si>
  <si>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</si>
  <si>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</si>
  <si>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</si>
  <si>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</si>
  <si>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</si>
  <si>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</si>
  <si>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</si>
  <si>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</si>
  <si>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</si>
  <si>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</si>
  <si>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</si>
  <si>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</si>
  <si>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</si>
  <si>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</si>
  <si>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</si>
  <si>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</si>
  <si>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</si>
  <si>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</si>
  <si>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</si>
  <si>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</si>
  <si>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</si>
  <si>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</si>
  <si>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</si>
  <si>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</si>
  <si>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</si>
  <si>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</si>
  <si>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</si>
  <si>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</si>
  <si>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</si>
  <si>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</si>
  <si>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</si>
  <si>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</si>
  <si>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</si>
  <si>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</si>
  <si>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</si>
  <si>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</si>
  <si>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</si>
  <si>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</si>
  <si>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</si>
  <si>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</si>
  <si>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</si>
  <si>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</si>
  <si>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</si>
  <si>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</si>
  <si>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</si>
  <si>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</si>
  <si>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</si>
  <si>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</si>
  <si>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</si>
  <si>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</si>
  <si>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</si>
  <si>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</si>
  <si>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</si>
  <si>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</si>
  <si>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</si>
  <si>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</si>
  <si>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</si>
  <si>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</si>
  <si>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</si>
  <si>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</si>
  <si>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</si>
  <si>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</si>
  <si>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</si>
  <si>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</si>
  <si>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</si>
  <si>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</si>
  <si>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</si>
  <si>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</si>
  <si>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</si>
  <si>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</si>
  <si>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</si>
  <si>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</si>
  <si>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</si>
  <si>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</si>
  <si>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</si>
  <si>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</si>
  <si>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</si>
  <si>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</si>
  <si>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</si>
  <si>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</si>
  <si>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</si>
  <si>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</si>
  <si>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</si>
  <si>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</si>
  <si>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</si>
  <si>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</si>
  <si>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</si>
  <si>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</si>
  <si>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</si>
  <si>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</si>
  <si>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</si>
  <si>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</si>
  <si>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</si>
  <si>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</si>
  <si>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</si>
  <si>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</si>
  <si>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</si>
  <si>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</si>
  <si>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</si>
  <si>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</si>
  <si>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</si>
  <si>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</si>
  <si>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</si>
  <si>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</si>
  <si>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</si>
  <si>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</si>
  <si>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</si>
  <si>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</si>
  <si>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</si>
  <si>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</si>
  <si>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</si>
  <si>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</si>
  <si>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</si>
  <si>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</si>
  <si>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</si>
  <si>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</si>
  <si>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</si>
  <si>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</si>
  <si>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</si>
  <si>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</si>
  <si>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</si>
  <si>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</si>
  <si>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</si>
  <si>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</si>
  <si>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</si>
  <si>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</si>
  <si>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</si>
  <si>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</si>
  <si>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</si>
  <si>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</si>
  <si>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</si>
  <si>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</si>
  <si>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</si>
  <si>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</si>
  <si>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</si>
  <si>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</si>
  <si>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</si>
  <si>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</si>
  <si>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</si>
  <si>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</si>
  <si>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</si>
  <si>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</si>
  <si>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</si>
  <si>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</si>
  <si>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</si>
  <si>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</si>
  <si>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</si>
  <si>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</si>
  <si>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</si>
  <si>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</si>
  <si>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</si>
  <si>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</si>
  <si>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</si>
  <si>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</si>
  <si>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</si>
  <si>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</si>
  <si>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</si>
  <si>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</si>
  <si>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</si>
  <si>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</si>
  <si>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</si>
  <si>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</si>
  <si>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</si>
  <si>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</si>
  <si>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</si>
  <si>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</si>
  <si>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</si>
  <si>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</si>
  <si>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</si>
  <si>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</si>
  <si>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</si>
  <si>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</si>
  <si>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</si>
  <si>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</si>
  <si>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</si>
  <si>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</si>
  <si>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</si>
  <si>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</si>
  <si>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</si>
  <si>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</si>
  <si>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</si>
  <si>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</si>
  <si>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</si>
  <si>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</si>
  <si>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</si>
  <si>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</si>
  <si>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</si>
  <si>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</si>
  <si>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</si>
  <si>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</si>
  <si>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</si>
  <si>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</si>
  <si>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</si>
  <si>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</si>
  <si>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</si>
  <si>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</si>
  <si>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</si>
  <si>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</si>
  <si>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</si>
  <si>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</si>
  <si>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</si>
  <si>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</si>
  <si>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</si>
  <si>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</si>
  <si>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</si>
  <si>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</si>
  <si>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</si>
  <si>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</si>
  <si>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</si>
  <si>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</si>
  <si>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</si>
  <si>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</si>
  <si>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</si>
  <si>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</si>
  <si>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</si>
  <si>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</si>
  <si>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</si>
  <si>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</si>
  <si>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</si>
  <si>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</si>
  <si>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</si>
  <si>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</si>
  <si>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</si>
  <si>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</si>
  <si>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</si>
  <si>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</si>
  <si>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</si>
  <si>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</si>
  <si>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</si>
  <si>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</si>
  <si>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</si>
  <si>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</si>
  <si>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</si>
  <si>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</si>
  <si>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</si>
  <si>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</si>
  <si>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</si>
  <si>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</si>
  <si>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</si>
  <si>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</si>
  <si>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</si>
  <si>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</si>
  <si>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</si>
  <si>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</si>
  <si>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</si>
  <si>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</si>
  <si>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</si>
  <si>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</si>
  <si>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</si>
  <si>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</si>
  <si>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</si>
  <si>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</si>
  <si>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</si>
  <si>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</si>
  <si>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</si>
  <si>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</si>
  <si>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</si>
  <si>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</si>
  <si>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</si>
  <si>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</si>
  <si>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</si>
  <si>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</si>
  <si>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</si>
  <si>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</si>
  <si>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</si>
  <si>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</si>
  <si>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</si>
  <si>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</si>
  <si>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</si>
  <si>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</si>
  <si>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</si>
  <si>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</si>
  <si>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</si>
  <si>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</si>
  <si>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</si>
  <si>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</si>
  <si>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</si>
  <si>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</si>
  <si>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</si>
  <si>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</si>
  <si>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</si>
  <si>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</si>
  <si>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</si>
  <si>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</si>
  <si>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</si>
  <si>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</si>
  <si>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</si>
  <si>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</si>
  <si>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</si>
  <si>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</si>
  <si>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</si>
  <si>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</si>
  <si>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</si>
  <si>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</si>
  <si>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</si>
  <si>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</si>
  <si>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</si>
  <si>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</si>
  <si>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</si>
  <si>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</si>
  <si>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</si>
  <si>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</si>
  <si>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</si>
  <si>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</si>
  <si>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</si>
  <si>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</si>
  <si>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</si>
  <si>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</si>
  <si>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</si>
  <si>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</si>
  <si>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</si>
  <si>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</si>
  <si>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</si>
  <si>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</si>
  <si>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</si>
  <si>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</si>
  <si>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</si>
  <si>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</si>
  <si>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</si>
  <si>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</si>
  <si>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</si>
  <si>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</si>
  <si>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</si>
  <si>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</si>
  <si>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</si>
  <si>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</si>
  <si>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</si>
  <si>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</si>
  <si>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</si>
  <si>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</si>
  <si>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</si>
  <si>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</si>
  <si>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</si>
  <si>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</si>
  <si>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</si>
  <si>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</si>
  <si>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</si>
  <si>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</si>
  <si>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</si>
  <si>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</si>
  <si>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</si>
  <si>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</si>
  <si>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</si>
  <si>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</si>
  <si>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</si>
  <si>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</si>
  <si>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</si>
  <si>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</si>
  <si>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</si>
  <si>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</si>
  <si>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</si>
  <si>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</si>
  <si>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</si>
  <si>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</si>
  <si>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</si>
  <si>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</si>
  <si>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</si>
  <si>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</si>
  <si>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</si>
  <si>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</si>
  <si>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</si>
  <si>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</si>
  <si>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</si>
  <si>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</si>
  <si>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</si>
  <si>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</si>
  <si>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</si>
  <si>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</si>
  <si>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</si>
  <si>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</si>
  <si>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</si>
  <si>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</si>
  <si>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</si>
  <si>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</si>
  <si>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</si>
  <si>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</si>
  <si>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</si>
  <si>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</si>
  <si>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</si>
  <si>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</si>
  <si>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</si>
  <si>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</si>
  <si>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</si>
  <si>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</si>
  <si>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</si>
  <si>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</si>
  <si>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</si>
  <si>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</si>
  <si>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</si>
  <si>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</si>
  <si>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</si>
  <si>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</si>
  <si>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</si>
  <si>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</si>
  <si>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</si>
  <si>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</si>
  <si>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</si>
  <si>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</si>
  <si>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</si>
  <si>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</si>
  <si>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</si>
  <si>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</si>
  <si>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</si>
  <si>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</si>
  <si>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</si>
  <si>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</si>
  <si>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</si>
  <si>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</si>
  <si>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</si>
  <si>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</si>
  <si>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</si>
  <si>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</si>
  <si>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</si>
  <si>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</si>
  <si>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</si>
  <si>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</si>
  <si>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</si>
  <si>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</si>
  <si>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</si>
  <si>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</si>
  <si>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</si>
  <si>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</si>
  <si>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</si>
  <si>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</si>
  <si>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</si>
  <si>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</si>
  <si>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</si>
  <si>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</si>
  <si>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</si>
  <si>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</si>
  <si>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</si>
  <si>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</si>
  <si>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</si>
  <si>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</si>
  <si>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</si>
  <si>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</si>
  <si>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</si>
  <si>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</si>
  <si>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</si>
  <si>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</si>
  <si>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</si>
  <si>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</si>
  <si>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</si>
  <si>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</si>
  <si>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</si>
  <si>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</si>
  <si>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</si>
  <si>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</si>
  <si>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</si>
  <si>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</si>
  <si>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</si>
  <si>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</si>
  <si>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</si>
  <si>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</si>
  <si>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</si>
  <si>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</si>
  <si>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</si>
  <si>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</si>
  <si>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</si>
  <si>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</si>
  <si>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</si>
  <si>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</si>
  <si>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</si>
  <si>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</si>
  <si>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</si>
  <si>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</si>
  <si>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</si>
  <si>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</si>
  <si>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</si>
  <si>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</si>
  <si>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</si>
  <si>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</si>
  <si>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</si>
  <si>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</si>
  <si>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</si>
  <si>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</si>
  <si>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</si>
  <si>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</si>
  <si>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</si>
  <si>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</si>
  <si>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</si>
  <si>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</si>
  <si>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</si>
  <si>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</si>
  <si>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</si>
  <si>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</si>
  <si>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</si>
  <si>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</si>
  <si>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</si>
  <si>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</si>
  <si>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</si>
  <si>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</si>
  <si>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</si>
  <si>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</si>
  <si>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</si>
  <si>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</si>
  <si>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</si>
  <si>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</si>
  <si>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</si>
  <si>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</si>
  <si>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</si>
  <si>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</si>
  <si>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</si>
  <si>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</si>
  <si>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</si>
  <si>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</si>
  <si>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</si>
  <si>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</si>
  <si>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</si>
  <si>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</si>
  <si>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</si>
  <si>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</si>
  <si>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</si>
  <si>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</si>
  <si>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</si>
  <si>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</si>
  <si>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</si>
  <si>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</si>
  <si>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</si>
  <si>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</si>
  <si>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</si>
  <si>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</si>
  <si>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</si>
  <si>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</si>
  <si>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</si>
  <si>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</si>
  <si>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</si>
  <si>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</si>
  <si>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</si>
  <si>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</si>
  <si>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</si>
  <si>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</si>
  <si>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</si>
  <si>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</si>
  <si>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</si>
  <si>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</si>
  <si>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</si>
  <si>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</si>
  <si>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</si>
  <si>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</si>
  <si>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</si>
  <si>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</si>
  <si>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</si>
  <si>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</si>
  <si>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</si>
  <si>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</si>
  <si>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</si>
  <si>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</si>
  <si>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</si>
  <si>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</si>
  <si>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</si>
  <si>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</si>
  <si>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</si>
  <si>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</si>
  <si>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</si>
  <si>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</si>
  <si>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</si>
  <si>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</si>
  <si>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</si>
  <si>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</si>
  <si>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</si>
  <si>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</si>
  <si>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</si>
  <si>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</si>
  <si>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</si>
  <si>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</si>
  <si>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</si>
  <si>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</si>
  <si>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</si>
  <si>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</si>
  <si>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</si>
  <si>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</si>
  <si>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</si>
  <si>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</si>
  <si>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</si>
  <si>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</si>
  <si>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</si>
  <si>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</si>
  <si>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</si>
  <si>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</si>
  <si>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</si>
  <si>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</si>
  <si>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</si>
  <si>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</si>
  <si>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</si>
  <si>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</si>
  <si>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</si>
  <si>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</si>
  <si>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</si>
  <si>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</si>
  <si>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</si>
  <si>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</si>
  <si>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</si>
  <si>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</si>
  <si>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</si>
  <si>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</si>
  <si>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</si>
  <si>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</si>
  <si>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</si>
  <si>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</si>
  <si>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</si>
  <si>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</si>
  <si>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</si>
  <si>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</si>
  <si>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</si>
  <si>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</si>
  <si>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</si>
  <si>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</si>
  <si>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</si>
  <si>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</si>
  <si>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</si>
  <si>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</si>
  <si>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</si>
  <si>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</si>
  <si>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</si>
  <si>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</si>
  <si>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</si>
  <si>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</si>
  <si>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</si>
  <si>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</si>
  <si>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</si>
  <si>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</si>
  <si>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</si>
  <si>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</si>
  <si>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</si>
  <si>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</si>
  <si>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</si>
  <si>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</si>
  <si>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</si>
  <si>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</si>
  <si>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</si>
  <si>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</si>
  <si>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</si>
  <si>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</si>
  <si>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</si>
  <si>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</si>
  <si>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</si>
  <si>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</si>
  <si>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</si>
  <si>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</si>
  <si>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</si>
  <si>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</si>
  <si>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</si>
  <si>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</si>
  <si>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</si>
  <si>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</si>
  <si>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</si>
  <si>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</si>
  <si>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</si>
  <si>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</si>
  <si>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</si>
  <si>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</si>
  <si>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</si>
  <si>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</si>
  <si>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</si>
  <si>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</si>
  <si>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</si>
  <si>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</si>
  <si>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</si>
  <si>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</si>
  <si>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</si>
  <si>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</si>
  <si>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</si>
  <si>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</si>
  <si>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</si>
  <si>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</si>
  <si>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</si>
  <si>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</si>
  <si>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</si>
  <si>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</si>
  <si>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</si>
  <si>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</si>
  <si>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</si>
  <si>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</si>
  <si>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</si>
  <si>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</si>
  <si>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</si>
  <si>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</si>
  <si>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</si>
  <si>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</si>
  <si>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</si>
  <si>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</si>
  <si>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</si>
  <si>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</si>
  <si>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</si>
  <si>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</si>
  <si>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</si>
  <si>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</si>
  <si>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</si>
  <si>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</si>
  <si>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</si>
  <si>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</si>
  <si>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</si>
  <si>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</si>
  <si>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</si>
  <si>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</si>
  <si>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</si>
  <si>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</si>
  <si>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</si>
  <si>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</si>
  <si>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</si>
  <si>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</si>
  <si>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</si>
  <si>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</si>
  <si>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</si>
  <si>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</si>
  <si>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</si>
  <si>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</si>
  <si>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</si>
  <si>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</si>
  <si>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</si>
  <si>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</si>
  <si>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</si>
  <si>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</si>
  <si>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</si>
  <si>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</si>
  <si>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</si>
  <si>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</si>
  <si>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</si>
  <si>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</si>
  <si>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</si>
  <si>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</si>
  <si>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</si>
  <si>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</si>
  <si>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</si>
  <si>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</si>
  <si>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</si>
  <si>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</si>
  <si>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</si>
  <si>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</si>
  <si>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</si>
  <si>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</si>
  <si>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</si>
  <si>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</si>
  <si>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</si>
  <si>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</si>
  <si>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</si>
  <si>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</si>
  <si>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</si>
  <si>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</si>
  <si>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</si>
  <si>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</si>
  <si>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</si>
  <si>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</si>
  <si>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</si>
  <si>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</si>
  <si>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</si>
  <si>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</si>
  <si>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</si>
  <si>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</si>
  <si>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</si>
  <si>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</si>
  <si>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</si>
  <si>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</si>
  <si>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</si>
  <si>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</si>
  <si>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</si>
  <si>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</si>
  <si>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</si>
  <si>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</si>
  <si>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</si>
  <si>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</si>
  <si>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</si>
  <si>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</si>
  <si>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</si>
  <si>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</si>
  <si>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</si>
  <si>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</si>
  <si>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</si>
  <si>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</si>
  <si>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</si>
  <si>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</si>
  <si>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</si>
  <si>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</si>
  <si>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</si>
  <si>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</si>
  <si>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</si>
  <si>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</si>
  <si>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</si>
  <si>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</si>
  <si>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</si>
  <si>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</si>
  <si>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</si>
  <si>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</si>
  <si>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</si>
  <si>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</si>
  <si>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</si>
  <si>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</si>
  <si>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</si>
  <si>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</si>
  <si>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</si>
  <si>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</si>
  <si>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</si>
  <si>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</si>
  <si>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</si>
  <si>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</si>
  <si>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</si>
  <si>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</si>
  <si>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</si>
  <si>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</si>
  <si>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</si>
  <si>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</si>
  <si>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</si>
  <si>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</si>
  <si>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</si>
  <si>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</si>
  <si>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</si>
  <si>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</si>
  <si>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</si>
  <si>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</si>
  <si>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</si>
  <si>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</si>
  <si>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</si>
  <si>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</si>
  <si>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</si>
  <si>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</si>
  <si>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</si>
  <si>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</si>
  <si>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</si>
  <si>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</si>
  <si>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</si>
  <si>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</si>
  <si>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</si>
  <si>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</si>
  <si>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</si>
  <si>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</si>
  <si>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</si>
  <si>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</si>
  <si>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</si>
  <si>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</si>
  <si>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</si>
  <si>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</si>
  <si>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</si>
  <si>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</si>
  <si>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</si>
  <si>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</si>
  <si>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</si>
  <si>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</si>
  <si>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</si>
  <si>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</si>
  <si>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</si>
  <si>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</si>
  <si>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</si>
  <si>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</si>
  <si>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</si>
  <si>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</si>
  <si>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</si>
  <si>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</si>
  <si>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</si>
  <si>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</si>
  <si>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</si>
  <si>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</si>
  <si>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</si>
  <si>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</si>
  <si>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</si>
  <si>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</si>
  <si>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</si>
  <si>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</si>
  <si>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</si>
  <si>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</si>
  <si>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</si>
  <si>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</si>
  <si>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</si>
  <si>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</si>
  <si>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</si>
  <si>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</si>
  <si>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</si>
  <si>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</si>
  <si>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</si>
  <si>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</si>
  <si>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</si>
  <si>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</si>
  <si>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</si>
  <si>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</si>
  <si>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</si>
  <si>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</si>
  <si>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</si>
  <si>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</si>
  <si>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</si>
  <si>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</si>
  <si>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</si>
  <si>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</si>
  <si>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</si>
  <si>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</si>
  <si>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</si>
  <si>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</si>
  <si>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</si>
  <si>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</si>
  <si>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</si>
  <si>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</si>
  <si>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</si>
  <si>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</si>
  <si>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</si>
  <si>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</si>
  <si>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</si>
  <si>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</si>
  <si>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</si>
  <si>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</si>
  <si>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</si>
  <si>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</si>
  <si>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</si>
  <si>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</si>
  <si>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</si>
  <si>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</si>
  <si>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</si>
  <si>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</si>
  <si>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</si>
  <si>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</si>
  <si>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</si>
  <si>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</si>
  <si>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</si>
  <si>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</si>
  <si>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</si>
  <si>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</si>
  <si>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</si>
  <si>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</si>
  <si>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</si>
  <si>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</si>
  <si>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</si>
  <si>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</si>
  <si>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</si>
  <si>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</si>
  <si>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</si>
  <si>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</si>
  <si>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</si>
  <si>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</si>
  <si>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</si>
  <si>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</si>
  <si>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</si>
  <si>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</si>
  <si>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</si>
  <si>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</si>
  <si>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</si>
  <si>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</si>
  <si>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</si>
  <si>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</si>
  <si>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</si>
  <si>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</si>
  <si>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</si>
  <si>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</si>
  <si>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</si>
  <si>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</si>
  <si>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</si>
  <si>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</si>
  <si>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</si>
  <si>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</si>
  <si>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</si>
  <si>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</si>
  <si>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</si>
  <si>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</si>
  <si>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</si>
  <si>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</si>
  <si>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</si>
  <si>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</si>
  <si>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</si>
  <si>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</si>
  <si>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</si>
  <si>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</si>
  <si>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</si>
  <si>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</si>
  <si>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</si>
  <si>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</si>
  <si>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</si>
  <si>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</si>
  <si>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</si>
  <si>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</si>
  <si>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</si>
  <si>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</si>
  <si>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</si>
  <si>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</si>
  <si>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</si>
  <si>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</si>
  <si>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</si>
  <si>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</si>
  <si>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</si>
  <si>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</si>
  <si>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</si>
  <si>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</si>
  <si>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</si>
  <si>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</si>
  <si>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</si>
  <si>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</si>
  <si>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</si>
  <si>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</si>
  <si>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</si>
  <si>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</si>
  <si>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</si>
  <si>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</si>
  <si>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</si>
  <si>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</si>
  <si>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</si>
  <si>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</si>
  <si>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</si>
  <si>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</si>
  <si>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</si>
  <si>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</si>
  <si>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</si>
  <si>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</si>
  <si>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</si>
  <si>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</si>
  <si>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</si>
  <si>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</si>
  <si>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</si>
  <si>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</si>
  <si>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</si>
  <si>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</si>
  <si>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</si>
  <si>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</si>
  <si>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</si>
  <si>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</si>
  <si>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</si>
  <si>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</si>
  <si>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</si>
  <si>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</si>
  <si>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</si>
  <si>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</si>
  <si>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</si>
  <si>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</si>
  <si>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</si>
  <si>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</si>
  <si>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</si>
  <si>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</si>
  <si>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</si>
  <si>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</si>
  <si>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</si>
  <si>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</si>
  <si>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</si>
  <si>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</si>
  <si>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</si>
  <si>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</si>
  <si>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</si>
  <si>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</si>
  <si>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</si>
  <si>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</si>
  <si>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</si>
  <si>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</si>
  <si>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</si>
  <si>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</si>
  <si>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</si>
  <si>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</si>
  <si>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</si>
  <si>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</si>
  <si>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</si>
  <si>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</si>
  <si>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</si>
  <si>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</si>
  <si>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</si>
  <si>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</si>
  <si>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</si>
  <si>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</si>
  <si>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</si>
  <si>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</si>
  <si>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</si>
  <si>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</si>
  <si>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</si>
  <si>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</si>
  <si>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</si>
  <si>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</si>
  <si>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</si>
  <si>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</si>
  <si>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</si>
  <si>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</si>
  <si>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</si>
  <si>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</si>
  <si>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</si>
  <si>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</si>
  <si>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</si>
  <si>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</si>
  <si>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</si>
  <si>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</si>
  <si>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</si>
  <si>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</si>
  <si>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</si>
  <si>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</si>
  <si>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</si>
  <si>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</si>
  <si>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</si>
  <si>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</si>
  <si>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</si>
  <si>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</si>
  <si>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</si>
  <si>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</si>
  <si>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</si>
  <si>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</si>
  <si>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</si>
  <si>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</si>
  <si>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</si>
  <si>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</si>
  <si>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</si>
  <si>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</si>
  <si>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</si>
  <si>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</si>
  <si>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</si>
  <si>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</si>
  <si>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</si>
  <si>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</si>
  <si>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</si>
  <si>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</si>
  <si>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</si>
  <si>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</si>
  <si>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</si>
  <si>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</si>
  <si>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</si>
  <si>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</si>
  <si>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</si>
  <si>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</si>
  <si>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</si>
  <si>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</si>
  <si>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</si>
  <si>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</si>
  <si>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</si>
  <si>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</si>
  <si>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</si>
  <si>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</si>
  <si>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</si>
  <si>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</si>
  <si>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</si>
  <si>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</si>
  <si>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</si>
  <si>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</si>
  <si>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</si>
  <si>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</si>
  <si>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</si>
  <si>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</si>
  <si>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</si>
  <si>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</si>
  <si>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</si>
  <si>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</si>
  <si>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</si>
  <si>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</si>
  <si>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</si>
  <si>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</si>
  <si>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</si>
  <si>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</si>
  <si>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</si>
  <si>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</si>
  <si>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</si>
  <si>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</si>
  <si>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</si>
  <si>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</si>
  <si>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</si>
  <si>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</si>
  <si>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</si>
  <si>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</si>
  <si>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</si>
  <si>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</si>
  <si>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</si>
  <si>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</si>
  <si>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</si>
  <si>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</si>
  <si>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</si>
  <si>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</si>
  <si>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</si>
  <si>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</si>
  <si>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</si>
  <si>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</si>
  <si>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</si>
  <si>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</si>
  <si>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</si>
  <si>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</si>
  <si>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</si>
  <si>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</si>
  <si>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</si>
  <si>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</si>
  <si>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</si>
  <si>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</si>
  <si>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</si>
  <si>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</si>
  <si>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</si>
  <si>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</si>
  <si>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</si>
  <si>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</si>
  <si>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</si>
  <si>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</si>
  <si>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</si>
  <si>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</si>
  <si>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</si>
  <si>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</si>
  <si>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</si>
  <si>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</si>
  <si>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</si>
  <si>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</si>
  <si>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</si>
  <si>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</si>
  <si>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</si>
  <si>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</si>
  <si>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</si>
  <si>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</si>
  <si>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</si>
  <si>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</si>
  <si>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</si>
  <si>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</si>
  <si>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</si>
  <si>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</si>
  <si>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</si>
  <si>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</si>
  <si>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</si>
  <si>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</si>
  <si>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</si>
  <si>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</si>
  <si>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</si>
  <si>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</si>
  <si>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</si>
  <si>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</si>
  <si>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</si>
  <si>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</si>
  <si>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</si>
  <si>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</si>
  <si>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</si>
  <si>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</si>
  <si>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</si>
  <si>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</si>
  <si>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</si>
  <si>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</si>
  <si>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</si>
  <si>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</si>
  <si>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</si>
  <si>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</si>
  <si>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</si>
  <si>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</si>
  <si>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</si>
  <si>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</si>
  <si>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</si>
  <si>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</si>
  <si>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</si>
  <si>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</si>
  <si>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</si>
  <si>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</si>
  <si>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</si>
  <si>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</si>
  <si>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</si>
  <si>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</si>
  <si>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</si>
  <si>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</si>
  <si>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</si>
  <si>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</si>
  <si>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</si>
  <si>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</si>
  <si>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</si>
  <si>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</si>
  <si>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</si>
  <si>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</si>
  <si>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</si>
  <si>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</si>
  <si>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</si>
  <si>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</si>
  <si>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</si>
  <si>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</si>
  <si>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</si>
  <si>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</si>
  <si>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</si>
  <si>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</si>
  <si>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</si>
  <si>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</si>
  <si>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</si>
  <si>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</si>
  <si>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</si>
  <si>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</si>
  <si>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</si>
  <si>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</si>
  <si>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</si>
  <si>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</si>
  <si>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</si>
  <si>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</si>
  <si>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</si>
  <si>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</si>
  <si>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</si>
  <si>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</si>
  <si>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</si>
  <si>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</si>
  <si>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</si>
  <si>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</si>
  <si>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</si>
  <si>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</si>
  <si>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</si>
  <si>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</si>
  <si>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</si>
  <si>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</si>
  <si>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</si>
  <si>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</si>
  <si>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</si>
  <si>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</si>
  <si>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</si>
  <si>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</si>
  <si>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</si>
  <si>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</si>
  <si>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</si>
  <si>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</si>
  <si>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</si>
  <si>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</si>
  <si>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</si>
  <si>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</si>
  <si>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</si>
  <si>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</si>
  <si>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</si>
  <si>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</si>
  <si>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</si>
  <si>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</si>
  <si>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</si>
  <si>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</si>
  <si>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</si>
  <si>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</si>
  <si>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</si>
  <si>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</si>
  <si>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</si>
  <si>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</si>
  <si>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</si>
  <si>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</si>
  <si>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</si>
  <si>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</si>
  <si>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</si>
  <si>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</si>
  <si>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</si>
  <si>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</si>
  <si>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</si>
  <si>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</si>
  <si>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</si>
  <si>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</si>
  <si>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</si>
  <si>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</si>
  <si>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</si>
  <si>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</si>
  <si>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</si>
  <si>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</si>
  <si>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</si>
  <si>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</si>
  <si>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</si>
  <si>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</si>
  <si>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</si>
  <si>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</si>
  <si>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</si>
  <si>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</si>
  <si>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</si>
  <si>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</si>
  <si>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</si>
  <si>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</si>
  <si>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</si>
  <si>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</si>
  <si>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</si>
  <si>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</si>
  <si>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</si>
  <si>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</si>
  <si>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</si>
  <si>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</si>
  <si>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</si>
  <si>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</si>
  <si>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</si>
  <si>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</si>
  <si>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</si>
  <si>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</si>
  <si>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</si>
  <si>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</si>
  <si>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</si>
  <si>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</si>
  <si>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</si>
  <si>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</si>
  <si>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</si>
  <si>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</si>
  <si>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</si>
  <si>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</si>
  <si>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</si>
  <si>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</si>
  <si>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</si>
  <si>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</si>
  <si>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</si>
  <si>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</si>
  <si>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</si>
  <si>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</si>
  <si>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</si>
  <si>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</si>
  <si>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</si>
  <si>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</si>
  <si>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</si>
  <si>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</si>
  <si>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</si>
  <si>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</si>
  <si>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</si>
  <si>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</si>
  <si>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</si>
  <si>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</si>
  <si>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</si>
  <si>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</si>
  <si>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</si>
  <si>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</si>
  <si>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</si>
  <si>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</si>
  <si>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</si>
  <si>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</si>
  <si>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</si>
  <si>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</si>
  <si>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</si>
  <si>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</si>
  <si>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</si>
  <si>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</si>
  <si>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</si>
  <si>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</si>
  <si>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</si>
  <si>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</si>
  <si>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</si>
  <si>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</si>
  <si>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</si>
  <si>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</si>
  <si>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</si>
  <si>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</si>
  <si>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</si>
  <si>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</si>
  <si>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</si>
  <si>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</si>
  <si>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</si>
  <si>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</si>
  <si>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</si>
  <si>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</si>
  <si>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</si>
  <si>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</si>
  <si>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</si>
  <si>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</si>
  <si>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</si>
  <si>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</si>
  <si>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</si>
  <si>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</si>
  <si>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</si>
  <si>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</si>
  <si>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</si>
  <si>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</si>
  <si>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</si>
  <si>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</si>
  <si>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</si>
  <si>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</si>
  <si>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</si>
  <si>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</si>
  <si>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</si>
  <si>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</si>
  <si>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</si>
  <si>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</si>
  <si>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</si>
  <si>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</si>
  <si>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</si>
  <si>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</si>
  <si>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</si>
  <si>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</si>
  <si>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</si>
  <si>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</si>
  <si>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</si>
  <si>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</si>
  <si>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</si>
  <si>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</si>
  <si>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</si>
  <si>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</si>
  <si>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</si>
  <si>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</si>
  <si>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</si>
  <si>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</si>
  <si>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</si>
  <si>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</si>
  <si>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</si>
  <si>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</si>
  <si>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</si>
  <si>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</si>
  <si>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</si>
  <si>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</si>
  <si>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</si>
  <si>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</si>
  <si>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</si>
  <si>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</si>
  <si>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</si>
  <si>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</si>
  <si>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</si>
  <si>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</si>
  <si>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</si>
  <si>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</si>
  <si>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</si>
  <si>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</si>
  <si>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</si>
  <si>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</si>
  <si>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</si>
  <si>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</si>
  <si>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</si>
  <si>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</si>
  <si>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</si>
  <si>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</si>
  <si>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</si>
  <si>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</si>
  <si>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</si>
  <si>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</si>
  <si>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</si>
  <si>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</si>
  <si>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</si>
  <si>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</si>
  <si>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</si>
  <si>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</si>
  <si>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</si>
  <si>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</si>
  <si>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</si>
  <si>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</si>
  <si>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</si>
  <si>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</si>
  <si>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</si>
  <si>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</si>
  <si>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</si>
  <si>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</si>
  <si>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</si>
  <si>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</si>
  <si>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</si>
  <si>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</si>
  <si>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</si>
  <si>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</si>
  <si>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</si>
  <si>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</si>
  <si>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</si>
  <si>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</si>
  <si>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</si>
  <si>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</si>
  <si>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</si>
  <si>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</si>
  <si>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</si>
  <si>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</si>
  <si>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</si>
  <si>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</si>
  <si>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</si>
  <si>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</si>
  <si>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</si>
  <si>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</si>
  <si>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</si>
  <si>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</si>
  <si>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</si>
  <si>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</si>
  <si>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</si>
  <si>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</si>
  <si>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</si>
  <si>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</si>
  <si>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</si>
  <si>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</si>
  <si>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</si>
  <si>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</si>
  <si>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</si>
  <si>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</si>
  <si>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</si>
  <si>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</si>
  <si>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</si>
  <si>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</si>
  <si>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</si>
  <si>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</si>
  <si>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</si>
  <si>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</si>
  <si>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</si>
  <si>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</si>
  <si>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</si>
  <si>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</si>
  <si>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</si>
  <si>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</si>
  <si>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</si>
  <si>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</si>
  <si>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</si>
  <si>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</si>
  <si>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</si>
  <si>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</si>
  <si>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</si>
  <si>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</si>
  <si>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</si>
  <si>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</si>
  <si>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</si>
  <si>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</si>
  <si>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</si>
  <si>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</si>
  <si>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</si>
  <si>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</si>
  <si>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</si>
  <si>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</si>
  <si>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</si>
  <si>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</si>
  <si>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</si>
  <si>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</si>
  <si>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</si>
  <si>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</si>
  <si>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</si>
  <si>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</si>
  <si>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</si>
  <si>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</si>
  <si>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</si>
  <si>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</si>
  <si>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</si>
  <si>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</si>
  <si>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</si>
  <si>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</si>
  <si>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</si>
  <si>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</si>
  <si>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</si>
  <si>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</si>
  <si>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</si>
  <si>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</si>
  <si>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</si>
  <si>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</si>
  <si>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</si>
  <si>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</si>
  <si>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</si>
  <si>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</si>
  <si>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</si>
  <si>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</si>
  <si>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</si>
  <si>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</si>
  <si>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</si>
  <si>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</si>
  <si>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</si>
  <si>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</si>
  <si>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</si>
  <si>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</si>
  <si>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</si>
  <si>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</si>
  <si>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</si>
  <si>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</si>
  <si>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</si>
  <si>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</si>
  <si>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</si>
  <si>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</si>
  <si>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</si>
  <si>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</si>
  <si>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</si>
  <si>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</si>
  <si>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</si>
  <si>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</si>
  <si>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</si>
  <si>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</si>
  <si>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</si>
  <si>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</si>
  <si>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</si>
  <si>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</si>
  <si>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</si>
  <si>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</si>
  <si>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</si>
  <si>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</si>
  <si>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</si>
  <si>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</si>
  <si>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</si>
  <si>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</si>
  <si>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</si>
  <si>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</si>
  <si>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</si>
  <si>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</si>
  <si>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</si>
  <si>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</si>
  <si>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</si>
  <si>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</si>
  <si>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</si>
  <si>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</si>
  <si>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</si>
  <si>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</si>
  <si>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</si>
  <si>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</si>
  <si>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</si>
  <si>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</si>
  <si>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</si>
  <si>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</si>
  <si>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</si>
  <si>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</si>
  <si>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</si>
  <si>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</si>
  <si>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</si>
  <si>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</si>
  <si>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</si>
  <si>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</si>
  <si>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</si>
  <si>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</si>
  <si>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</si>
  <si>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</si>
  <si>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</si>
  <si>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</si>
  <si>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</si>
  <si>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</si>
  <si>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</si>
  <si>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</si>
  <si>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</si>
  <si>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</si>
  <si>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</si>
  <si>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</si>
  <si>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</si>
  <si>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</si>
  <si>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</si>
  <si>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</si>
  <si>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</si>
  <si>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</si>
  <si>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</si>
  <si>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</si>
  <si>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</si>
  <si>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</si>
  <si>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</si>
  <si>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</si>
  <si>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</si>
  <si>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</si>
  <si>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</si>
  <si>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</si>
  <si>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</si>
  <si>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</si>
  <si>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</si>
  <si>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</si>
  <si>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</si>
  <si>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</si>
  <si>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</si>
  <si>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</si>
  <si>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</si>
  <si>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</si>
  <si>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</si>
  <si>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</si>
  <si>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</si>
  <si>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</si>
  <si>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</si>
  <si>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</si>
  <si>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</si>
  <si>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</si>
  <si>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</si>
  <si>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</si>
  <si>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</si>
  <si>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</si>
  <si>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</si>
  <si>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</si>
  <si>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</si>
  <si>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</si>
  <si>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</si>
  <si>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</si>
  <si>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</si>
  <si>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</si>
  <si>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</si>
  <si>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</si>
  <si>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</si>
  <si>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</si>
  <si>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</si>
  <si>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</si>
  <si>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</si>
  <si>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</si>
  <si>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</si>
  <si>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</si>
  <si>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</si>
  <si>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</si>
  <si>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</si>
  <si>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</si>
  <si>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</si>
  <si>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</si>
  <si>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</si>
  <si>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</si>
  <si>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</si>
  <si>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</si>
  <si>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</si>
  <si>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</si>
  <si>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</si>
  <si>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</si>
  <si>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</si>
  <si>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</si>
  <si>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</si>
  <si>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</si>
  <si>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</si>
  <si>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</si>
  <si>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</si>
  <si>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</si>
  <si>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</si>
  <si>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</si>
  <si>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</si>
  <si>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</si>
  <si>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</si>
  <si>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</si>
  <si>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</si>
  <si>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</si>
  <si>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</si>
  <si>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</si>
  <si>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</si>
  <si>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</si>
  <si>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</si>
  <si>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</si>
  <si>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</si>
  <si>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</si>
  <si>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</si>
  <si>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</si>
  <si>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</si>
  <si>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</si>
  <si>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</si>
  <si>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</si>
  <si>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</si>
  <si>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</si>
  <si>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</si>
  <si>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</si>
  <si>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</si>
  <si>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</si>
  <si>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</si>
  <si>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</si>
  <si>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</si>
  <si>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</si>
  <si>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</si>
  <si>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</si>
  <si>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</si>
  <si>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</si>
  <si>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</si>
  <si>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</si>
  <si>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</si>
  <si>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</si>
  <si>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</si>
  <si>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</si>
  <si>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</si>
  <si>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</si>
  <si>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</si>
  <si>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</si>
  <si>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</si>
  <si>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</si>
  <si>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</si>
  <si>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</si>
  <si>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</si>
  <si>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</si>
  <si>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</si>
  <si>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</si>
  <si>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</si>
  <si>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</si>
  <si>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</si>
  <si>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</si>
  <si>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</si>
  <si>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</si>
  <si>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</si>
  <si>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</si>
  <si>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</si>
  <si>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</si>
  <si>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</si>
  <si>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</si>
  <si>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</si>
  <si>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</si>
  <si>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</si>
  <si>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</si>
  <si>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</si>
  <si>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</si>
  <si>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</si>
  <si>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</si>
  <si>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</si>
  <si>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</si>
  <si>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</si>
  <si>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</si>
  <si>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</si>
  <si>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</si>
  <si>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</si>
  <si>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</si>
  <si>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</si>
  <si>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</si>
  <si>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</si>
  <si>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</si>
  <si>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</si>
  <si>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</si>
  <si>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</si>
  <si>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</si>
  <si>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</si>
  <si>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</si>
  <si>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</si>
  <si>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</si>
  <si>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</si>
  <si>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</si>
  <si>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</si>
  <si>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</si>
  <si>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</si>
  <si>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</si>
  <si>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</si>
  <si>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</si>
  <si>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</si>
  <si>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</si>
  <si>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</si>
  <si>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</si>
  <si>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</si>
  <si>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</si>
  <si>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</si>
  <si>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</si>
  <si>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</si>
  <si>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</si>
  <si>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</si>
  <si>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</si>
  <si>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</si>
  <si>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</si>
  <si>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</si>
  <si>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</si>
  <si>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</si>
  <si>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</si>
  <si>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</si>
  <si>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</si>
  <si>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</si>
  <si>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</si>
  <si>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</si>
  <si>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</si>
  <si>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</si>
  <si>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</si>
  <si>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</si>
  <si>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</si>
  <si>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</si>
  <si>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</si>
  <si>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</si>
  <si>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</si>
  <si>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</si>
  <si>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</si>
  <si>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</si>
  <si>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</si>
  <si>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</si>
  <si>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</si>
  <si>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</si>
  <si>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</si>
  <si>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</si>
  <si>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</si>
  <si>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</si>
  <si>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</si>
  <si>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</si>
  <si>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</si>
  <si>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</si>
  <si>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</si>
  <si>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</si>
  <si>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</si>
  <si>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</si>
  <si>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</si>
  <si>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</si>
  <si>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</si>
  <si>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</si>
  <si>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</si>
  <si>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</si>
  <si>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</si>
  <si>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</si>
  <si>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</si>
  <si>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</si>
  <si>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</si>
  <si>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</si>
  <si>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</si>
  <si>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</si>
  <si>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</si>
  <si>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</si>
  <si>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</si>
  <si>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</si>
  <si>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</si>
  <si>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</si>
  <si>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</si>
  <si>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</si>
  <si>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</si>
  <si>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</si>
  <si>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</si>
  <si>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</si>
  <si>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</si>
  <si>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</si>
  <si>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</si>
  <si>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</si>
  <si>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</si>
  <si>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</si>
  <si>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</si>
  <si>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</si>
  <si>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</si>
  <si>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</si>
  <si>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</si>
  <si>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</si>
  <si>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</si>
  <si>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</si>
  <si>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</si>
  <si>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</si>
  <si>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</si>
  <si>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</si>
  <si>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</si>
  <si>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</si>
  <si>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</si>
  <si>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</si>
  <si>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</si>
  <si>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</si>
  <si>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</si>
  <si>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</si>
  <si>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</si>
  <si>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</si>
  <si>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</si>
  <si>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</si>
  <si>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</si>
  <si>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</si>
  <si>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</si>
  <si>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</si>
  <si>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</si>
  <si>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</si>
  <si>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</si>
  <si>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</si>
  <si>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</si>
  <si>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</si>
  <si>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</si>
  <si>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</si>
  <si>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</si>
  <si>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</si>
  <si>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</si>
  <si>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</si>
  <si>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</si>
  <si>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</si>
  <si>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</si>
  <si>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</si>
  <si>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</si>
  <si>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</si>
  <si>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</si>
  <si>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</si>
  <si>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</si>
  <si>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</si>
  <si>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</si>
  <si>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</si>
  <si>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</si>
  <si>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</si>
  <si>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</si>
  <si>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</si>
  <si>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</si>
  <si>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</si>
  <si>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</si>
  <si>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</si>
  <si>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</si>
  <si>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</si>
  <si>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</si>
  <si>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</si>
  <si>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</si>
  <si>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</si>
  <si>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</si>
  <si>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</si>
  <si>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</si>
  <si>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</si>
  <si>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</si>
  <si>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</si>
  <si>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</si>
  <si>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</si>
  <si>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</si>
  <si>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</si>
  <si>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</si>
  <si>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</si>
  <si>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</si>
  <si>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</si>
  <si>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</si>
  <si>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</si>
  <si>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</si>
  <si>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</si>
  <si>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</si>
  <si>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</si>
  <si>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</si>
  <si>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</si>
  <si>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</si>
  <si>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</si>
  <si>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</si>
  <si>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</si>
  <si>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</si>
  <si>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</si>
  <si>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</si>
  <si>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</si>
  <si>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</si>
  <si>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</si>
  <si>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</si>
  <si>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</si>
  <si>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</si>
  <si>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</si>
  <si>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</si>
  <si>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</si>
  <si>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</si>
  <si>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</si>
  <si>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</si>
  <si>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</si>
  <si>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</si>
  <si>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</si>
  <si>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</si>
  <si>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</si>
  <si>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</si>
  <si>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</si>
  <si>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</si>
  <si>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</si>
  <si>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</si>
  <si>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</si>
  <si>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</si>
  <si>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</si>
  <si>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</si>
  <si>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</si>
  <si>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</si>
  <si>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</si>
  <si>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</si>
  <si>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</si>
  <si>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</si>
  <si>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</si>
  <si>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</si>
  <si>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</si>
  <si>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</si>
  <si>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</si>
  <si>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</si>
  <si>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</si>
  <si>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</si>
  <si>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</si>
  <si>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</si>
  <si>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</si>
  <si>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</si>
  <si>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</si>
  <si>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</si>
  <si>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</si>
  <si>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</si>
  <si>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</si>
  <si>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</si>
  <si>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</si>
  <si>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</si>
  <si>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</si>
  <si>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</si>
  <si>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</si>
  <si>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</si>
  <si>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</si>
  <si>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</si>
  <si>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</si>
  <si>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</si>
  <si>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</si>
  <si>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</si>
  <si>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</si>
  <si>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</si>
  <si>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</si>
  <si>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</si>
  <si>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</si>
  <si>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</si>
  <si>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</si>
  <si>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</si>
  <si>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</si>
  <si>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</si>
  <si>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</si>
  <si>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</si>
  <si>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</si>
  <si>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</si>
  <si>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</si>
  <si>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</si>
  <si>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</si>
  <si>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</si>
  <si>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</si>
  <si>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</si>
  <si>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</si>
  <si>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</si>
  <si>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</si>
  <si>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</si>
  <si>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</si>
  <si>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</si>
  <si>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</si>
  <si>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</si>
  <si>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</si>
  <si>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</si>
  <si>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</si>
  <si>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</si>
  <si>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</si>
  <si>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</si>
  <si>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</si>
  <si>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</si>
  <si>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</si>
  <si>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</si>
  <si>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</si>
  <si>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</si>
  <si>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</si>
  <si>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</si>
  <si>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</si>
  <si>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</si>
  <si>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</si>
  <si>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</si>
  <si>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</si>
  <si>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</si>
  <si>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</si>
  <si>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</si>
  <si>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</si>
  <si>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</si>
  <si>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</si>
  <si>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</si>
  <si>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</si>
  <si>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</si>
  <si>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</si>
  <si>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</si>
  <si>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</si>
  <si>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</si>
  <si>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</si>
  <si>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</si>
  <si>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</si>
  <si>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</si>
  <si>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</si>
  <si>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</si>
  <si>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</si>
  <si>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</si>
  <si>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</si>
  <si>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</si>
  <si>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</si>
  <si>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</si>
  <si>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</si>
  <si>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</si>
  <si>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</si>
  <si>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</si>
  <si>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</si>
  <si>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</si>
  <si>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</si>
  <si>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</si>
  <si>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</si>
  <si>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</si>
  <si>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</si>
  <si>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</si>
  <si>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</si>
  <si>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</si>
  <si>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</si>
  <si>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</si>
  <si>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</si>
  <si>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</si>
  <si>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</si>
  <si>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</si>
  <si>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</si>
  <si>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</si>
  <si>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</si>
  <si>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</si>
  <si>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</si>
  <si>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</si>
  <si>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</si>
  <si>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</si>
  <si>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</si>
  <si>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</si>
  <si>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</si>
  <si>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</si>
  <si>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</si>
  <si>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</si>
  <si>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</si>
  <si>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</si>
  <si>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</si>
  <si>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</si>
  <si>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</si>
  <si>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</si>
  <si>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</si>
  <si>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</si>
  <si>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</si>
  <si>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</si>
  <si>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</si>
  <si>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</si>
  <si>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</si>
  <si>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</si>
  <si>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</si>
  <si>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</si>
  <si>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</si>
  <si>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</si>
  <si>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</si>
  <si>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</si>
  <si>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</si>
  <si>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</si>
  <si>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</si>
  <si>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</si>
  <si>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</si>
  <si>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</si>
  <si>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</si>
  <si>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</si>
  <si>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</si>
  <si>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</si>
  <si>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</si>
  <si>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</si>
  <si>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</si>
  <si>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</si>
  <si>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</si>
  <si>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</si>
  <si>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</si>
  <si>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</si>
  <si>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</si>
  <si>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</si>
  <si>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</si>
  <si>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</si>
  <si>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</si>
  <si>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</si>
  <si>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</si>
  <si>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</si>
  <si>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</si>
  <si>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</si>
  <si>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</si>
  <si>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</si>
  <si>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</si>
  <si>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</si>
  <si>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</si>
  <si>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</si>
  <si>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</si>
  <si>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</si>
  <si>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</si>
  <si>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</si>
  <si>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</si>
  <si>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</si>
  <si>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</si>
  <si>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</si>
  <si>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</si>
  <si>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</si>
  <si>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</si>
  <si>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</si>
  <si>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</si>
  <si>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</si>
  <si>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</si>
  <si>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</si>
  <si>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</si>
  <si>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</si>
  <si>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</si>
  <si>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</si>
  <si>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</si>
  <si>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</si>
  <si>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</si>
  <si>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</si>
  <si>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</si>
  <si>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</si>
  <si>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</si>
  <si>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</si>
  <si>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</si>
  <si>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</si>
  <si>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</si>
  <si>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</si>
  <si>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</si>
  <si>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</si>
  <si>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</si>
  <si>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</si>
  <si>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</si>
  <si>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</si>
  <si>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</si>
  <si>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</si>
  <si>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</si>
  <si>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</si>
  <si>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</si>
  <si>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</si>
  <si>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</si>
  <si>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</si>
  <si>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</si>
  <si>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</si>
  <si>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</si>
  <si>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</si>
  <si>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</si>
  <si>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</si>
  <si>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</si>
  <si>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</si>
  <si>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</si>
  <si>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</si>
  <si>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</si>
  <si>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</si>
  <si>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</si>
  <si>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</si>
  <si>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</si>
  <si>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</si>
  <si>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</si>
  <si>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</si>
  <si>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</si>
  <si>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</si>
  <si>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</si>
  <si>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</si>
  <si>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</si>
  <si>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</si>
  <si>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</si>
  <si>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</si>
  <si>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</si>
  <si>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</si>
  <si>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</si>
  <si>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</si>
  <si>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</si>
  <si>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</si>
  <si>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</si>
  <si>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</si>
  <si>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</si>
  <si>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</si>
  <si>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</si>
  <si>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</si>
  <si>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</si>
  <si>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</si>
  <si>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</si>
  <si>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</si>
  <si>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</si>
  <si>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</si>
  <si>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</si>
  <si>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</si>
  <si>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</si>
  <si>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</si>
  <si>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</si>
  <si>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</si>
  <si>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</si>
  <si>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</si>
  <si>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</si>
  <si>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</si>
  <si>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</si>
  <si>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</si>
  <si>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</si>
  <si>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</si>
  <si>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</si>
  <si>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</si>
  <si>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</si>
  <si>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</si>
  <si>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</si>
  <si>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</si>
  <si>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</si>
  <si>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</si>
  <si>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</si>
  <si>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</si>
  <si>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</si>
  <si>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</si>
  <si>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</si>
  <si>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</si>
  <si>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</si>
  <si>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</si>
  <si>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</si>
  <si>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</si>
  <si>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</si>
  <si>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</si>
  <si>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</si>
  <si>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</si>
  <si>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</si>
  <si>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</si>
  <si>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</si>
  <si>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</si>
  <si>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</si>
  <si>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</si>
  <si>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</si>
  <si>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</si>
  <si>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</si>
  <si>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</si>
  <si>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</si>
  <si>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</si>
  <si>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</si>
  <si>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</si>
  <si>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</si>
  <si>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</si>
  <si>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</si>
  <si>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</si>
  <si>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</si>
  <si>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</si>
  <si>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</si>
  <si>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</si>
  <si>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</si>
  <si>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</si>
  <si>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</si>
  <si>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</si>
  <si>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</si>
  <si>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</si>
  <si>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</si>
  <si>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</si>
  <si>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</si>
  <si>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</si>
  <si>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</si>
  <si>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</si>
  <si>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</si>
  <si>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</si>
  <si>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</si>
  <si>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</si>
  <si>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</si>
  <si>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</si>
  <si>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</si>
  <si>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</si>
  <si>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</si>
  <si>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</si>
  <si>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</si>
  <si>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</si>
  <si>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</si>
  <si>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</si>
  <si>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</si>
  <si>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</si>
  <si>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</si>
  <si>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</si>
  <si>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</si>
  <si>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</si>
  <si>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</si>
  <si>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</si>
  <si>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</si>
  <si>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</si>
  <si>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</si>
  <si>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</si>
  <si>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</si>
  <si>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</si>
  <si>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</si>
  <si>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</si>
  <si>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</si>
  <si>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</si>
  <si>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</si>
  <si>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</si>
  <si>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</si>
  <si>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</si>
  <si>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</si>
  <si>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</si>
  <si>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</si>
  <si>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</si>
  <si>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</si>
  <si>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</si>
  <si>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</si>
  <si>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</si>
  <si>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</si>
  <si>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</si>
  <si>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</si>
  <si>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</si>
  <si>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</si>
  <si>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</si>
  <si>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</si>
  <si>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</si>
  <si>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</si>
  <si>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</si>
  <si>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</si>
  <si>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</si>
  <si>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</si>
  <si>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</si>
  <si>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</si>
  <si>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</si>
  <si>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</si>
  <si>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</si>
  <si>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</si>
  <si>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</si>
  <si>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</si>
  <si>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</si>
  <si>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</si>
  <si>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</si>
  <si>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</si>
  <si>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</si>
  <si>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</si>
  <si>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</si>
  <si>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</si>
  <si>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</si>
  <si>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</si>
  <si>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</si>
  <si>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</si>
  <si>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</si>
  <si>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</si>
  <si>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</si>
  <si>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</si>
  <si>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</si>
  <si>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</si>
  <si>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</si>
  <si>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</si>
  <si>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</si>
  <si>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</si>
  <si>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</si>
  <si>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</si>
  <si>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</si>
  <si>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</si>
  <si>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</si>
  <si>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</si>
  <si>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</si>
  <si>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</si>
  <si>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</si>
  <si>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</si>
  <si>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</si>
  <si>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</si>
  <si>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</si>
  <si>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</si>
  <si>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</si>
  <si>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</si>
  <si>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</si>
  <si>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</si>
  <si>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</si>
  <si>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</si>
  <si>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</si>
  <si>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</si>
  <si>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</si>
  <si>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</si>
  <si>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</si>
  <si>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</si>
  <si>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</si>
  <si>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</si>
  <si>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</si>
  <si>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</si>
  <si>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</si>
  <si>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</si>
  <si>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</si>
  <si>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</si>
  <si>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</si>
  <si>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</si>
  <si>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</si>
  <si>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</si>
  <si>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</si>
  <si>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</si>
  <si>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</si>
  <si>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</si>
  <si>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</si>
  <si>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</si>
  <si>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</si>
  <si>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</si>
  <si>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</si>
  <si>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</si>
  <si>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</si>
  <si>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</si>
  <si>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</si>
  <si>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</si>
  <si>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</si>
  <si>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</si>
  <si>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</si>
  <si>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</si>
  <si>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</si>
  <si>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</si>
  <si>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</si>
  <si>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</si>
  <si>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</si>
  <si>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</si>
  <si>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</si>
  <si>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</si>
  <si>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</si>
  <si>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</si>
  <si>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</si>
  <si>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</si>
  <si>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</si>
  <si>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</si>
  <si>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</si>
  <si>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</si>
  <si>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</si>
  <si>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</si>
  <si>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</si>
  <si>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</si>
  <si>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</si>
  <si>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</si>
  <si>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</si>
  <si>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</si>
  <si>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</si>
  <si>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</si>
  <si>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</si>
  <si>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</si>
  <si>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</si>
  <si>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</si>
  <si>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</si>
  <si>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</si>
  <si>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</si>
  <si>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</si>
  <si>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</si>
  <si>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</si>
  <si>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</si>
  <si>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</si>
  <si>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</si>
  <si>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</si>
  <si>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</si>
  <si>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</si>
  <si>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</si>
  <si>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</si>
  <si>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</si>
  <si>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</si>
  <si>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</si>
  <si>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</si>
  <si>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</si>
  <si>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</si>
  <si>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</si>
  <si>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</si>
  <si>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</si>
  <si>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</si>
  <si>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</si>
  <si>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</si>
  <si>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</si>
  <si>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</si>
  <si>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</si>
  <si>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</si>
  <si>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</si>
  <si>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</si>
  <si>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</si>
  <si>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</si>
  <si>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</si>
  <si>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</si>
  <si>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</si>
  <si>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</si>
  <si>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</si>
  <si>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</si>
  <si>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</si>
  <si>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</si>
  <si>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</si>
  <si>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</si>
  <si>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</si>
  <si>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</si>
  <si>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</si>
  <si>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</si>
  <si>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</si>
  <si>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</si>
  <si>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</si>
  <si>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</si>
  <si>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</si>
  <si>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</si>
  <si>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</si>
  <si>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</si>
  <si>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</si>
  <si>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</si>
  <si>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</si>
  <si>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</si>
  <si>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</si>
  <si>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</si>
  <si>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</si>
  <si>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</si>
  <si>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</si>
  <si>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</si>
  <si>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</si>
  <si>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</si>
  <si>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</si>
  <si>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</si>
  <si>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</si>
  <si>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</si>
  <si>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</si>
  <si>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</si>
  <si>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</si>
  <si>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</si>
  <si>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</si>
  <si>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</si>
  <si>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</si>
  <si>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</si>
  <si>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</si>
  <si>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</si>
  <si>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</si>
  <si>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</si>
  <si>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</si>
  <si>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</si>
  <si>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</si>
  <si>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</si>
  <si>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</si>
  <si>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</si>
  <si>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</si>
  <si>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</si>
  <si>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</si>
  <si>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</si>
  <si>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</si>
  <si>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</si>
  <si>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</si>
  <si>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</si>
  <si>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</si>
  <si>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</si>
  <si>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</si>
  <si>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</si>
  <si>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</si>
  <si>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</si>
  <si>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</si>
  <si>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</si>
  <si>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</si>
  <si>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</si>
  <si>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</si>
  <si>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</si>
  <si>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</si>
  <si>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</si>
  <si>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</si>
  <si>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</si>
  <si>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</si>
  <si>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</si>
  <si>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</si>
  <si>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</si>
  <si>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</si>
  <si>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</si>
  <si>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</si>
  <si>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</si>
  <si>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</si>
  <si>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</si>
  <si>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</si>
  <si>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</si>
  <si>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</si>
  <si>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</si>
  <si>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</si>
  <si>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</si>
  <si>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</si>
  <si>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</si>
  <si>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</si>
  <si>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</si>
  <si>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</si>
  <si>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</si>
  <si>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</si>
  <si>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</si>
  <si>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</si>
  <si>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</si>
  <si>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</si>
  <si>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</si>
  <si>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</si>
  <si>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</si>
  <si>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</si>
  <si>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</si>
  <si>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</si>
  <si>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</si>
  <si>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</si>
  <si>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</si>
  <si>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</si>
  <si>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</si>
  <si>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</si>
  <si>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</si>
  <si>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</si>
  <si>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</si>
  <si>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</si>
  <si>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</si>
  <si>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</si>
  <si>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</si>
  <si>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</si>
  <si>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</si>
  <si>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</si>
  <si>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</si>
  <si>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</si>
  <si>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</si>
  <si>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</si>
  <si>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</si>
  <si>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</si>
  <si>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</si>
  <si>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</si>
  <si>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</si>
  <si>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</si>
  <si>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</si>
  <si>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</si>
  <si>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</si>
  <si>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</si>
  <si>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</si>
  <si>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</si>
  <si>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</si>
  <si>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</si>
  <si>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</si>
  <si>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</si>
  <si>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</si>
  <si>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</si>
  <si>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</si>
  <si>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</si>
  <si>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</si>
  <si>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</si>
  <si>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</si>
  <si>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</si>
  <si>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</si>
  <si>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</si>
  <si>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</si>
  <si>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</si>
  <si>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</si>
  <si>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</si>
  <si>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</si>
  <si>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</si>
  <si>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</si>
  <si>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</si>
  <si>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</si>
  <si>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</si>
  <si>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</si>
  <si>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</si>
  <si>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</si>
  <si>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</si>
  <si>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</si>
  <si>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</si>
  <si>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</si>
  <si>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</si>
  <si>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</si>
  <si>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</si>
  <si>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</si>
  <si>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</si>
  <si>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</si>
  <si>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</si>
  <si>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</si>
  <si>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</si>
  <si>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</si>
  <si>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</si>
  <si>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</si>
  <si>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</si>
  <si>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</si>
  <si>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</si>
  <si>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</si>
  <si>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</si>
  <si>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</si>
  <si>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</si>
  <si>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</si>
  <si>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</si>
  <si>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</si>
  <si>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</si>
  <si>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</si>
  <si>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</si>
  <si>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</si>
  <si>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</si>
  <si>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</si>
  <si>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</si>
  <si>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</si>
  <si>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</si>
  <si>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</si>
  <si>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</si>
  <si>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</si>
  <si>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</si>
  <si>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</si>
  <si>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</si>
  <si>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</si>
  <si>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</si>
  <si>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</si>
  <si>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</si>
  <si>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</si>
  <si>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</si>
  <si>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</si>
  <si>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</si>
  <si>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</si>
  <si>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</si>
  <si>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</si>
  <si>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</si>
  <si>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</si>
  <si>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</si>
  <si>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</si>
  <si>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</si>
  <si>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</si>
  <si>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</si>
  <si>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</si>
  <si>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</si>
  <si>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</si>
  <si>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</si>
  <si>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</si>
  <si>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</si>
  <si>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</si>
  <si>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</si>
  <si>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</si>
  <si>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</si>
  <si>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</si>
  <si>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</si>
  <si>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</si>
  <si>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</si>
  <si>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</si>
  <si>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</si>
  <si>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</si>
  <si>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</si>
  <si>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</si>
  <si>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</si>
  <si>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</si>
  <si>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</si>
  <si>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</si>
  <si>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</si>
  <si>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</si>
  <si>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</si>
  <si>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</si>
  <si>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</si>
  <si>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</si>
  <si>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</si>
  <si>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</si>
  <si>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</si>
  <si>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</si>
  <si>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</si>
  <si>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</si>
  <si>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</si>
  <si>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</si>
  <si>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</si>
  <si>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</si>
  <si>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</si>
  <si>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</si>
  <si>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</si>
  <si>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</si>
  <si>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</si>
  <si>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</si>
  <si>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</si>
  <si>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</si>
  <si>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</si>
  <si>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</si>
  <si>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</si>
  <si>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</si>
  <si>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</si>
  <si>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</si>
  <si>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</si>
  <si>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</si>
  <si>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</si>
  <si>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</si>
  <si>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</si>
  <si>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</si>
  <si>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</si>
  <si>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</si>
  <si>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</si>
  <si>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</si>
  <si>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</si>
  <si>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</si>
  <si>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</si>
  <si>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</si>
  <si>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</si>
  <si>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</si>
  <si>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</si>
  <si>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</si>
  <si>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</si>
  <si>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</si>
  <si>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</si>
  <si>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</si>
  <si>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</si>
  <si>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</si>
  <si>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</si>
  <si>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</si>
  <si>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</si>
  <si>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</si>
  <si>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</si>
  <si>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</si>
  <si>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</si>
  <si>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</si>
  <si>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</si>
  <si>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</si>
  <si>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</si>
  <si>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</si>
  <si>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</si>
  <si>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</si>
  <si>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</si>
  <si>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</si>
  <si>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</si>
  <si>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</si>
  <si>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</si>
  <si>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</si>
  <si>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</si>
  <si>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</si>
  <si>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</si>
  <si>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</si>
  <si>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</si>
  <si>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</si>
  <si>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</si>
  <si>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</si>
  <si>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</si>
  <si>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</si>
  <si>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</si>
  <si>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</si>
  <si>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</si>
  <si>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</si>
  <si>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</si>
  <si>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</si>
  <si>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</si>
  <si>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</si>
  <si>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</si>
  <si>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</si>
  <si>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</si>
  <si>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</si>
  <si>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</si>
  <si>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</si>
  <si>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</si>
  <si>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</si>
  <si>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</si>
  <si>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</si>
  <si>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</si>
  <si>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</si>
  <si>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</si>
  <si>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</si>
  <si>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</si>
  <si>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</si>
  <si>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</si>
  <si>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</si>
  <si>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</si>
  <si>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</si>
  <si>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</si>
  <si>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</si>
  <si>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</si>
  <si>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</si>
  <si>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</si>
  <si>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</si>
  <si>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</si>
  <si>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</si>
  <si>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</si>
  <si>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</si>
  <si>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</si>
  <si>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</si>
  <si>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</si>
  <si>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</si>
  <si>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</si>
  <si>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</si>
  <si>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</si>
  <si>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</si>
  <si>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</si>
  <si>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</si>
  <si>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</si>
  <si>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</si>
  <si>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</si>
  <si>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</si>
  <si>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</si>
  <si>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</si>
  <si>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</si>
  <si>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</si>
  <si>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</si>
  <si>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</si>
  <si>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</si>
  <si>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</si>
  <si>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</si>
  <si>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</si>
  <si>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</si>
  <si>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</si>
  <si>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</si>
  <si>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</si>
  <si>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</si>
  <si>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</si>
  <si>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</si>
  <si>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</si>
  <si>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</si>
  <si>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</si>
  <si>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</si>
  <si>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</si>
  <si>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</si>
  <si>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</si>
  <si>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</si>
  <si>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</si>
  <si>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</si>
  <si>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</si>
  <si>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</si>
  <si>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</si>
  <si>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</si>
  <si>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</si>
  <si>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</si>
  <si>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</si>
  <si>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</si>
  <si>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</si>
  <si>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</si>
  <si>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</si>
  <si>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</si>
  <si>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</si>
  <si>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</si>
  <si>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</si>
  <si>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</si>
  <si>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</si>
  <si>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</si>
  <si>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</si>
  <si>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</si>
  <si>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</si>
  <si>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</si>
  <si>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</si>
  <si>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</si>
  <si>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</si>
  <si>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</si>
  <si>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</si>
  <si>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</si>
  <si>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</si>
  <si>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</si>
  <si>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</si>
  <si>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</si>
  <si>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</si>
  <si>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</si>
  <si>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</si>
  <si>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</si>
  <si>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</si>
  <si>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</si>
  <si>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</si>
  <si>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</si>
  <si>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</si>
  <si>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</si>
  <si>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</si>
  <si>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</si>
  <si>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</si>
  <si>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</si>
  <si>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</si>
  <si>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</si>
  <si>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</si>
  <si>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</si>
  <si>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</si>
  <si>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</si>
  <si>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</si>
  <si>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</si>
  <si>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</si>
  <si>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</si>
  <si>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</si>
  <si>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</si>
  <si>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</si>
  <si>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</si>
  <si>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</si>
  <si>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</si>
  <si>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</si>
  <si>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</si>
  <si>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</si>
  <si>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</si>
  <si>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</si>
  <si>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</si>
  <si>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</si>
  <si>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</si>
  <si>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</si>
  <si>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</si>
  <si>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</si>
  <si>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</si>
  <si>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</si>
  <si>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</si>
  <si>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</si>
  <si>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</si>
  <si>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</si>
  <si>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</si>
  <si>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</si>
  <si>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</si>
  <si>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</si>
  <si>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</si>
  <si>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</si>
  <si>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</si>
  <si>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</si>
  <si>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</si>
  <si>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</si>
  <si>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</si>
  <si>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</si>
  <si>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</si>
  <si>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</si>
  <si>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</si>
  <si>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</si>
  <si>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</si>
  <si>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</si>
  <si>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</si>
  <si>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</si>
  <si>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</si>
  <si>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</si>
  <si>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</si>
  <si>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</si>
  <si>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</si>
  <si>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</si>
  <si>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</si>
  <si>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</si>
  <si>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</si>
  <si>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</si>
  <si>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</si>
  <si>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</si>
  <si>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</si>
  <si>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</si>
  <si>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</si>
  <si>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</si>
  <si>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</si>
  <si>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</si>
  <si>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</si>
  <si>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</si>
  <si>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</si>
  <si>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</si>
  <si>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</si>
  <si>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</si>
  <si>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</si>
  <si>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</si>
  <si>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</si>
  <si>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</si>
  <si>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</si>
  <si>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</si>
  <si>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</si>
  <si>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</si>
  <si>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</si>
  <si>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</si>
  <si>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</si>
  <si>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</si>
  <si>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</si>
  <si>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</si>
  <si>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</si>
  <si>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</si>
  <si>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</si>
  <si>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</si>
  <si>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</si>
  <si>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</si>
  <si>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</si>
  <si>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</si>
  <si>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</si>
  <si>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</si>
  <si>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</si>
  <si>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</si>
  <si>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</si>
  <si>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</si>
  <si>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</si>
  <si>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</si>
  <si>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</si>
  <si>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</si>
  <si>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</si>
  <si>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</si>
  <si>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</si>
  <si>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</si>
  <si>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</si>
  <si>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</si>
  <si>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</si>
  <si>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</si>
  <si>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</si>
  <si>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</si>
  <si>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</si>
  <si>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</si>
  <si>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</si>
  <si>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</si>
  <si>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</si>
  <si>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</si>
  <si>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</si>
  <si>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</si>
  <si>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</si>
  <si>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</si>
  <si>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</si>
  <si>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</si>
  <si>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</si>
  <si>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</si>
  <si>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</si>
  <si>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</si>
  <si>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</si>
  <si>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</si>
  <si>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</si>
  <si>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</si>
  <si>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</si>
  <si>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</si>
  <si>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</si>
  <si>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</si>
  <si>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</si>
  <si>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</si>
  <si>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</si>
  <si>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</si>
  <si>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</si>
  <si>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</si>
  <si>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</si>
  <si>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</si>
  <si>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</si>
  <si>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</si>
  <si>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</si>
  <si>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</si>
  <si>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</si>
  <si>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</si>
  <si>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</si>
  <si>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</si>
  <si>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</si>
  <si>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</si>
  <si>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</si>
  <si>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</si>
  <si>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</si>
  <si>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</si>
  <si>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</si>
  <si>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</si>
  <si>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</si>
  <si>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</si>
  <si>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</si>
  <si>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</si>
  <si>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</si>
  <si>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</si>
  <si>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</si>
  <si>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</si>
  <si>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</si>
  <si>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</si>
  <si>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</si>
  <si>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</si>
  <si>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</si>
  <si>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</si>
  <si>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</si>
  <si>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</si>
  <si>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</si>
  <si>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</si>
  <si>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</si>
  <si>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</si>
  <si>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</si>
  <si>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</si>
  <si>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</si>
  <si>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</si>
  <si>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</si>
  <si>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</si>
  <si>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</si>
  <si>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</si>
  <si>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</si>
  <si>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</si>
  <si>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</si>
  <si>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</si>
  <si>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</si>
  <si>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</si>
  <si>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</si>
  <si>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</si>
  <si>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</si>
  <si>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</si>
  <si>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</si>
  <si>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</si>
  <si>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</si>
  <si>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</si>
  <si>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</si>
  <si>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</si>
  <si>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</si>
  <si>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</si>
  <si>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</si>
  <si>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</si>
  <si>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</si>
  <si>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</si>
  <si>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</si>
  <si>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</si>
  <si>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</si>
  <si>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</si>
  <si>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</si>
  <si>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</si>
  <si>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</si>
  <si>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</si>
  <si>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</si>
  <si>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</si>
  <si>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</si>
  <si>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</si>
  <si>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</si>
  <si>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</si>
  <si>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</si>
  <si>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</si>
  <si>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</si>
  <si>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</si>
  <si>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</si>
  <si>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</si>
  <si>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</si>
  <si>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</si>
  <si>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</si>
  <si>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</si>
  <si>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</si>
  <si>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</si>
  <si>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</si>
  <si>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</si>
  <si>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</si>
  <si>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</si>
  <si>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</si>
  <si>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</si>
  <si>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</si>
  <si>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</si>
  <si>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</si>
  <si>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</si>
  <si>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</si>
  <si>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</si>
  <si>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</si>
  <si>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</si>
  <si>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</si>
  <si>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</si>
  <si>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</si>
  <si>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</si>
  <si>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</si>
  <si>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</si>
  <si>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</si>
  <si>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</si>
  <si>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</si>
  <si>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</si>
  <si>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</si>
  <si>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</si>
  <si>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</si>
  <si>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</si>
  <si>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</si>
  <si>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</si>
  <si>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</si>
  <si>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</si>
  <si>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</si>
  <si>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</si>
  <si>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</si>
  <si>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</si>
  <si>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</si>
  <si>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</si>
  <si>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</si>
  <si>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</si>
  <si>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</si>
  <si>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</si>
  <si>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</si>
  <si>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</si>
  <si>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</si>
  <si>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</si>
  <si>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</si>
  <si>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</si>
  <si>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</si>
  <si>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</si>
  <si>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</si>
  <si>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</si>
  <si>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</si>
  <si>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</si>
  <si>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</si>
  <si>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</si>
  <si>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</si>
  <si>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</si>
  <si>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</si>
  <si>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</si>
  <si>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</si>
  <si>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</si>
  <si>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</si>
  <si>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</si>
  <si>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</si>
  <si>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</si>
  <si>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</si>
  <si>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</si>
  <si>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</si>
  <si>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</si>
  <si>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</si>
  <si>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</si>
  <si>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</si>
  <si>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</si>
  <si>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</si>
  <si>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</si>
  <si>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</si>
  <si>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</si>
  <si>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</si>
  <si>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</si>
  <si>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</si>
  <si>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</si>
  <si>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</si>
  <si>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</si>
  <si>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</si>
  <si>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</si>
  <si>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</si>
  <si>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</si>
  <si>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</si>
  <si>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</si>
  <si>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</si>
  <si>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</si>
  <si>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</si>
  <si>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</si>
  <si>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</si>
  <si>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</si>
  <si>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</si>
  <si>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</si>
  <si>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</si>
  <si>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</si>
  <si>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</si>
  <si>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</si>
  <si>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</si>
  <si>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</si>
  <si>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</si>
  <si>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</si>
  <si>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</si>
  <si>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</si>
  <si>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</si>
  <si>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</si>
  <si>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</si>
  <si>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</si>
  <si>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</si>
  <si>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</si>
  <si>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</si>
  <si>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</si>
  <si>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</si>
  <si>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</si>
  <si>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</si>
  <si>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</si>
  <si>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</si>
  <si>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</si>
  <si>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</si>
  <si>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</si>
  <si>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</si>
  <si>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</si>
  <si>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</si>
  <si>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</si>
  <si>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</si>
  <si>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</si>
  <si>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</si>
  <si>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</si>
  <si>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</si>
  <si>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</si>
  <si>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</si>
  <si>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</si>
  <si>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</si>
  <si>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</si>
  <si>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</si>
  <si>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</si>
  <si>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</si>
  <si>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</si>
  <si>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</si>
  <si>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</si>
  <si>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</si>
  <si>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</si>
  <si>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</si>
  <si>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</si>
  <si>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</si>
  <si>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</si>
  <si>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</si>
  <si>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</si>
  <si>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</si>
  <si>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</si>
  <si>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</si>
  <si>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</si>
  <si>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</si>
  <si>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</si>
  <si>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</si>
  <si>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</si>
  <si>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</si>
  <si>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</si>
  <si>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</si>
  <si>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</si>
  <si>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</si>
  <si>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</si>
  <si>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</si>
  <si>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</si>
  <si>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</si>
  <si>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</si>
  <si>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</si>
  <si>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</si>
  <si>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</si>
  <si>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</si>
  <si>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</si>
  <si>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</si>
  <si>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</si>
  <si>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</si>
  <si>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</si>
  <si>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</si>
  <si>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</si>
  <si>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</si>
  <si>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</si>
  <si>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</si>
  <si>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</si>
  <si>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</si>
  <si>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</si>
  <si>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</si>
  <si>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</si>
  <si>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</si>
  <si>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</si>
  <si>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</si>
  <si>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</si>
  <si>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</si>
  <si>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</si>
  <si>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</si>
  <si>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</si>
  <si>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</si>
  <si>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</si>
  <si>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</si>
  <si>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</si>
  <si>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</si>
  <si>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</si>
  <si>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</si>
  <si>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</si>
  <si>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</si>
  <si>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</si>
  <si>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</si>
  <si>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</si>
  <si>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</si>
  <si>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</si>
  <si>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</si>
  <si>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</si>
  <si>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</si>
  <si>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</si>
  <si>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</si>
  <si>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</si>
  <si>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</si>
  <si>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</si>
  <si>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</si>
  <si>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</si>
  <si>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</si>
  <si>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</si>
  <si>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</si>
  <si>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</si>
  <si>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</si>
  <si>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</si>
  <si>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</si>
  <si>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</si>
  <si>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</si>
  <si>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</si>
  <si>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</si>
  <si>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</si>
  <si>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</si>
  <si>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</si>
  <si>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</si>
  <si>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</si>
  <si>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</si>
  <si>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</si>
  <si>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</si>
  <si>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</si>
  <si>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</si>
  <si>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</si>
  <si>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</si>
  <si>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</si>
  <si>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</si>
  <si>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</si>
  <si>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</si>
  <si>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</si>
  <si>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</si>
  <si>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</si>
  <si>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</si>
  <si>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</si>
  <si>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</si>
  <si>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</si>
  <si>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</si>
  <si>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</si>
  <si>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</si>
  <si>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</si>
  <si>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</si>
  <si>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</si>
  <si>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</si>
  <si>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</si>
  <si>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</si>
  <si>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</si>
  <si>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</si>
  <si>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</si>
  <si>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</si>
  <si>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</si>
  <si>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</si>
  <si>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</si>
  <si>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</si>
  <si>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</si>
  <si>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</si>
  <si>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</si>
  <si>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</si>
  <si>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</si>
  <si>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</si>
  <si>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</si>
  <si>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</si>
  <si>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</si>
  <si>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</si>
  <si>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</si>
  <si>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</si>
  <si>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</si>
  <si>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</si>
  <si>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</si>
  <si>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</si>
  <si>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</si>
  <si>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</si>
  <si>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</si>
  <si>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</si>
  <si>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</si>
  <si>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</si>
  <si>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</si>
  <si>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</si>
  <si>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</si>
  <si>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</si>
  <si>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</si>
  <si>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</si>
  <si>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</si>
  <si>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</si>
  <si>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</si>
  <si>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</si>
  <si>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</si>
  <si>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</si>
  <si>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</si>
  <si>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</si>
  <si>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</si>
  <si>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</si>
  <si>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</si>
  <si>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</si>
  <si>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</si>
  <si>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</si>
  <si>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</si>
  <si>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</si>
  <si>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</si>
  <si>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</si>
  <si>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</si>
  <si>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</si>
  <si>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</si>
  <si>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</si>
  <si>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</si>
  <si>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</si>
  <si>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</si>
  <si>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</si>
  <si>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</si>
  <si>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</si>
  <si>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</si>
  <si>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</si>
  <si>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</si>
  <si>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</si>
  <si>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</si>
  <si>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</si>
  <si>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</si>
  <si>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</si>
  <si>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</si>
  <si>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</si>
  <si>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</si>
  <si>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</si>
  <si>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</si>
  <si>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</si>
  <si>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</si>
  <si>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</si>
  <si>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</si>
  <si>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</si>
  <si>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</si>
  <si>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</si>
  <si>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</si>
  <si>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</si>
  <si>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</si>
  <si>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</si>
  <si>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</si>
  <si>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</si>
  <si>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</si>
  <si>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</si>
  <si>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</si>
  <si>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</si>
  <si>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</si>
  <si>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</si>
  <si>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</si>
  <si>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</si>
  <si>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</si>
  <si>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</si>
  <si>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</si>
  <si>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</si>
  <si>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</si>
  <si>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</si>
  <si>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</si>
  <si>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</si>
  <si>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</si>
  <si>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</si>
  <si>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</si>
  <si>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</si>
  <si>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</si>
  <si>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</si>
  <si>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</si>
  <si>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</si>
  <si>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</si>
  <si>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</si>
  <si>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</si>
  <si>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</si>
  <si>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</si>
  <si>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</si>
  <si>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</si>
  <si>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</si>
  <si>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</si>
  <si>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</si>
  <si>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</si>
  <si>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</si>
  <si>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</si>
  <si>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</si>
  <si>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</si>
  <si>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</si>
  <si>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</si>
  <si>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</si>
  <si>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</si>
  <si>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</si>
  <si>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</si>
  <si>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</si>
  <si>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</si>
  <si>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</si>
  <si>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</si>
  <si>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</si>
  <si>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</si>
  <si>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</si>
  <si>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</si>
  <si>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</si>
  <si>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</si>
  <si>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</si>
  <si>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</si>
  <si>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</si>
  <si>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</si>
  <si>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</si>
  <si>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</si>
  <si>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</si>
  <si>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</si>
  <si>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</si>
  <si>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</si>
  <si>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</si>
  <si>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</si>
  <si>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</si>
  <si>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</si>
  <si>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</si>
  <si>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</si>
  <si>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</si>
  <si>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</si>
  <si>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</si>
  <si>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</si>
  <si>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</si>
  <si>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</si>
  <si>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</si>
  <si>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</si>
  <si>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</si>
  <si>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</si>
  <si>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</si>
  <si>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</si>
  <si>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</si>
  <si>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</si>
  <si>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</si>
  <si>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</si>
  <si>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</si>
  <si>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</si>
  <si>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</si>
  <si>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</si>
  <si>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</si>
  <si>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</si>
  <si>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</si>
  <si>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</si>
  <si>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</si>
  <si>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</si>
  <si>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</si>
  <si>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</si>
  <si>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</si>
  <si>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</si>
  <si>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</si>
  <si>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</si>
  <si>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</si>
  <si>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</si>
  <si>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</si>
  <si>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</si>
  <si>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</si>
  <si>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</si>
  <si>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</si>
  <si>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</si>
  <si>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</si>
  <si>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</si>
  <si>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</si>
  <si>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</si>
  <si>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</si>
  <si>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</si>
  <si>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</si>
  <si>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</si>
  <si>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</si>
  <si>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</si>
  <si>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</si>
  <si>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</si>
  <si>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</si>
  <si>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</si>
  <si>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</si>
  <si>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</si>
  <si>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</si>
  <si>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</si>
  <si>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</si>
  <si>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</si>
  <si>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</si>
  <si>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</si>
  <si>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</si>
  <si>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</si>
  <si>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</si>
  <si>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</si>
  <si>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</si>
  <si>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</si>
  <si>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</si>
  <si>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</si>
  <si>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</si>
  <si>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</si>
  <si>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</si>
  <si>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</si>
  <si>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</si>
  <si>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</si>
  <si>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</si>
  <si>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</si>
  <si>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</si>
  <si>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</si>
  <si>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</si>
  <si>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</si>
  <si>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</si>
  <si>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</si>
  <si>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</si>
  <si>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</si>
  <si>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</si>
  <si>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</si>
  <si>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</si>
  <si>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</si>
  <si>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</si>
  <si>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</si>
  <si>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</si>
  <si>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</si>
  <si>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</si>
  <si>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</si>
  <si>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</si>
  <si>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</si>
  <si>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</si>
  <si>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</si>
  <si>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</si>
  <si>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</si>
  <si>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</si>
  <si>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</si>
  <si>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</si>
  <si>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</si>
  <si>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</si>
  <si>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</si>
  <si>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</si>
  <si>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</si>
  <si>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</si>
  <si>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</si>
  <si>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</si>
  <si>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</si>
  <si>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</si>
  <si>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</si>
  <si>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</si>
  <si>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</si>
  <si>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</si>
  <si>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</si>
  <si>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</si>
  <si>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</si>
  <si>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</si>
  <si>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</si>
  <si>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</si>
  <si>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</si>
  <si>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</si>
  <si>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</si>
  <si>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</si>
  <si>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</si>
  <si>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</si>
  <si>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</si>
  <si>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</si>
  <si>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</si>
  <si>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</si>
  <si>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</si>
  <si>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</si>
  <si>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</si>
  <si>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</si>
  <si>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</si>
  <si>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</si>
  <si>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</si>
  <si>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</si>
  <si>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</si>
  <si>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</si>
  <si>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</si>
  <si>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</si>
  <si>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</si>
  <si>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</si>
  <si>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</si>
  <si>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</si>
  <si>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</si>
  <si>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</si>
  <si>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</si>
  <si>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</si>
  <si>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</si>
  <si>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</si>
  <si>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</si>
  <si>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</si>
  <si>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</si>
  <si>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</si>
  <si>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</si>
  <si>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</si>
  <si>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</si>
  <si>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</si>
  <si>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</si>
  <si>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</si>
  <si>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</si>
  <si>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</si>
  <si>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</si>
  <si>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</si>
  <si>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</si>
  <si>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</si>
  <si>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</si>
  <si>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</si>
  <si>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</si>
  <si>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</si>
  <si>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</si>
  <si>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</si>
  <si>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</si>
  <si>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</si>
  <si>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</si>
  <si>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</si>
  <si>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</si>
  <si>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</si>
  <si>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</si>
  <si>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</si>
  <si>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</si>
  <si>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</si>
  <si>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</si>
  <si>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</si>
  <si>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</si>
  <si>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</si>
  <si>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</si>
  <si>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</si>
  <si>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</si>
  <si>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</si>
  <si>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</si>
  <si>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</si>
  <si>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</si>
  <si>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</si>
  <si>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</si>
  <si>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</si>
  <si>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</si>
  <si>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</si>
  <si>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</si>
  <si>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</si>
  <si>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</si>
  <si>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</si>
  <si>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</si>
  <si>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</si>
  <si>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</si>
  <si>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</si>
  <si>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</si>
  <si>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</si>
  <si>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</si>
  <si>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</si>
  <si>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</si>
  <si>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</si>
  <si>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</si>
  <si>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</si>
  <si>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</si>
  <si>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</si>
  <si>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</si>
  <si>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</si>
  <si>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</si>
  <si>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</si>
  <si>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</si>
  <si>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</si>
  <si>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</si>
  <si>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</si>
  <si>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</si>
  <si>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</si>
  <si>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</si>
  <si>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</si>
  <si>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</si>
  <si>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</si>
  <si>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</si>
  <si>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</si>
  <si>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</si>
  <si>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</si>
  <si>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</si>
  <si>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</si>
  <si>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</si>
  <si>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</si>
  <si>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</si>
  <si>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</si>
  <si>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</si>
  <si>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</si>
  <si>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</si>
  <si>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</si>
  <si>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</si>
  <si>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</si>
  <si>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</si>
  <si>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</si>
  <si>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</si>
  <si>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</si>
  <si>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</si>
  <si>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</si>
  <si>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</si>
  <si>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</si>
  <si>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</si>
  <si>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</si>
  <si>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</si>
  <si>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</si>
  <si>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</si>
  <si>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</si>
  <si>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</si>
  <si>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</si>
  <si>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</si>
  <si>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</si>
  <si>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</si>
  <si>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</si>
  <si>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</si>
  <si>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</si>
  <si>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</si>
  <si>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</si>
  <si>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</si>
  <si>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</si>
  <si>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</si>
  <si>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</si>
  <si>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</si>
  <si>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</si>
  <si>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</si>
  <si>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</si>
  <si>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</si>
  <si>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</si>
  <si>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</si>
  <si>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</si>
  <si>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</si>
  <si>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</si>
  <si>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</si>
  <si>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</si>
  <si>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</si>
  <si>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</si>
  <si>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</si>
  <si>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</si>
  <si>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</si>
  <si>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</si>
  <si>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</si>
  <si>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</si>
  <si>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</si>
  <si>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</si>
  <si>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</si>
  <si>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</si>
  <si>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</si>
  <si>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</si>
  <si>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</si>
  <si>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</si>
  <si>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</si>
  <si>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</si>
  <si>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</si>
  <si>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</si>
  <si>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</si>
  <si>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</si>
  <si>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</si>
  <si>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</si>
  <si>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</si>
  <si>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</si>
  <si>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</si>
  <si>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</si>
  <si>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</si>
  <si>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</si>
  <si>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</si>
  <si>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</si>
  <si>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</si>
  <si>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</si>
  <si>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</si>
  <si>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</si>
  <si>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</si>
  <si>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</si>
  <si>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</si>
  <si>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</si>
  <si>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</si>
  <si>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</si>
  <si>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</si>
  <si>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</si>
  <si>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</si>
  <si>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</si>
  <si>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</si>
  <si>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</si>
  <si>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</si>
  <si>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</si>
  <si>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</si>
  <si>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</si>
  <si>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</si>
  <si>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</si>
  <si>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</si>
  <si>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</si>
  <si>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</si>
  <si>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</si>
  <si>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</si>
  <si>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</si>
  <si>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</si>
  <si>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</si>
  <si>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</si>
  <si>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</si>
  <si>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</si>
  <si>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</si>
  <si>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</si>
  <si>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</si>
  <si>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</si>
  <si>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</si>
  <si>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</si>
  <si>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</si>
  <si>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</si>
  <si>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</si>
  <si>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</si>
  <si>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</si>
  <si>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</si>
  <si>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</si>
  <si>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</si>
  <si>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</si>
  <si>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</si>
  <si>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</si>
  <si>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</si>
  <si>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</si>
  <si>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</si>
  <si>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</si>
  <si>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</si>
  <si>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</si>
  <si>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</si>
  <si>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</si>
  <si>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</si>
  <si>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</si>
  <si>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</si>
  <si>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</si>
  <si>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</si>
  <si>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</si>
  <si>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</si>
  <si>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</si>
  <si>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</si>
  <si>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</si>
  <si>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</si>
  <si>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</si>
  <si>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</si>
  <si>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</si>
  <si>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</si>
  <si>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</si>
  <si>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</si>
  <si>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</si>
  <si>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</si>
  <si>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</si>
  <si>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</si>
  <si>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</si>
  <si>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</si>
  <si>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</si>
  <si>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</si>
  <si>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</si>
  <si>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</si>
  <si>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</si>
  <si>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</si>
  <si>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</si>
  <si>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</si>
  <si>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</si>
  <si>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</si>
  <si>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</si>
  <si>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</si>
  <si>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</si>
  <si>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</si>
  <si>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</si>
  <si>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</si>
  <si>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</si>
  <si>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</si>
  <si>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</si>
  <si>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</si>
  <si>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</si>
  <si>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</si>
  <si>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</si>
  <si>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</si>
  <si>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</si>
  <si>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</si>
  <si>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</si>
  <si>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</si>
  <si>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</si>
  <si>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</si>
  <si>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</si>
  <si>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</si>
  <si>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</si>
  <si>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</si>
  <si>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</si>
  <si>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</si>
  <si>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</si>
  <si>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</si>
  <si>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</si>
  <si>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</si>
  <si>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</si>
  <si>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</si>
  <si>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</si>
  <si>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</si>
  <si>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</si>
  <si>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</si>
  <si>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</si>
  <si>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</si>
  <si>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</si>
  <si>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</si>
  <si>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</si>
  <si>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</si>
  <si>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</si>
  <si>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</si>
  <si>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</si>
  <si>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</si>
  <si>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</si>
  <si>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</si>
  <si>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</si>
  <si>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</si>
  <si>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</si>
  <si>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</si>
  <si>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</si>
  <si>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</si>
  <si>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</si>
  <si>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</si>
  <si>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</si>
  <si>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</si>
  <si>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</si>
  <si>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</si>
  <si>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</si>
  <si>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</si>
  <si>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</si>
  <si>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</si>
  <si>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</si>
  <si>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</si>
  <si>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</si>
  <si>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</si>
  <si>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</si>
  <si>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</si>
  <si>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</si>
  <si>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</si>
  <si>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</si>
  <si>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</si>
  <si>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</si>
  <si>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</si>
  <si>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</si>
  <si>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</si>
  <si>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</si>
  <si>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</si>
  <si>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</si>
  <si>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</si>
  <si>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</si>
  <si>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</si>
  <si>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</si>
  <si>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</si>
  <si>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</si>
  <si>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</si>
  <si>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</si>
  <si>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</si>
  <si>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</si>
  <si>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</si>
  <si>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</si>
  <si>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</si>
  <si>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</si>
  <si>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</si>
  <si>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</si>
  <si>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</si>
  <si>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</si>
  <si>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</si>
  <si>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</si>
  <si>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</si>
  <si>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</si>
  <si>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</si>
  <si>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</si>
  <si>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</si>
  <si>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</si>
  <si>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</si>
  <si>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</si>
  <si>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2194 SVEUČILIŠTE U RIJECI - FAKULTET ZA MENADŽMENT U TURIZMU I UGOSTITELJSTVU</t>
  </si>
  <si>
    <t>Opatija, 28.9.2022.</t>
  </si>
  <si>
    <t>Klaudija Šegota-Cuculić</t>
  </si>
  <si>
    <t>ksegota@fthm.hr</t>
  </si>
  <si>
    <t>HORIZON BOLSTER</t>
  </si>
  <si>
    <t>2022</t>
  </si>
  <si>
    <t>2024</t>
  </si>
  <si>
    <t>Sveučilište u Tilburgu, NL</t>
  </si>
  <si>
    <t>2025</t>
  </si>
  <si>
    <t>HYPRO4ST</t>
  </si>
  <si>
    <t>Post innovation for sust develop, Grčka</t>
  </si>
  <si>
    <t>SOCIAL GREEN DEAL</t>
  </si>
  <si>
    <t>Confederazione generale italina del lavoro, Sicilia, Italia</t>
  </si>
  <si>
    <t>Razumijevanje uloge ind.odnosa i soc.dijaloga u u pravljanju procesima ozelenjavanja lokalnih gospodarstava</t>
  </si>
  <si>
    <t>Razvoj profesije Sustainable and Hybrid project manager za sektor održovog turizma</t>
  </si>
  <si>
    <t>AGENCIJA ZA MOBILNOST I PROGRAME EUROPSKE UNIJE (43335)</t>
  </si>
  <si>
    <t>SVEUČILIŠTE U RIJECI (2444)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</si>
</sst>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6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170" fontId="13" fillId="9" borderId="1" xfId="16" quotePrefix="1" applyNumberFormat="1" applyAlignment="1" applyProtection="1">
      <alignment horizontal="left" vertical="center" indent="5" justifyLastLine="1"/>
      <protection locked="0"/>
    </xf>
    <xf numFmtId="0" fontId="13" fillId="54" borderId="1" xfId="16" quotePrefix="1" applyFill="1">
      <alignment horizontal="left" vertical="center" indent="1" justifyLastLine="1"/>
    </xf>
    <xf numFmtId="14" fontId="24" fillId="0" borderId="1" xfId="18" quotePrefix="1" applyNumberFormat="1" applyFont="1" applyFill="1" applyProtection="1">
      <alignment horizontal="right" vertical="center"/>
      <protection locked="0"/>
    </xf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workbookViewId="0">
      <selection activeCell="C7" sqref="C7:E7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9" t="s">
        <v>5277</v>
      </c>
      <c r="D3" s="360"/>
      <c r="E3" s="361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62" t="s">
        <v>5278</v>
      </c>
      <c r="D4" s="363"/>
      <c r="E4" s="364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62" t="s">
        <v>5279</v>
      </c>
      <c r="D5" s="363"/>
      <c r="E5" s="364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62">
        <v>51294708</v>
      </c>
      <c r="D6" s="363"/>
      <c r="E6" s="364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62" t="s">
        <v>5280</v>
      </c>
      <c r="D7" s="363"/>
      <c r="E7" s="364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54" t="s">
        <v>5270</v>
      </c>
      <c r="C9" s="355"/>
      <c r="D9" s="355"/>
      <c r="E9" s="355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54" t="s">
        <v>3</v>
      </c>
      <c r="C11" s="355"/>
      <c r="D11" s="355"/>
      <c r="E11" s="355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7" t="s">
        <v>5082</v>
      </c>
      <c r="C13" s="358"/>
      <c r="D13" s="358"/>
      <c r="E13" s="358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4907676</v>
      </c>
      <c r="D16" s="107">
        <f>+D17+D18</f>
        <v>4723138</v>
      </c>
      <c r="E16" s="107">
        <f>+E17+E18</f>
        <v>4785138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4905676</v>
      </c>
      <c r="D17" s="110">
        <f>+'A.1 PRIHODI'!D30</f>
        <v>4721138</v>
      </c>
      <c r="E17" s="110">
        <f>+'A.1 PRIHODI'!D44</f>
        <v>4783138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2000</v>
      </c>
      <c r="D18" s="110">
        <f>+'A.1 PRIHODI'!D33</f>
        <v>2000</v>
      </c>
      <c r="E18" s="110">
        <f>+'A.1 PRIHODI'!D47</f>
        <v>2000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4866186</v>
      </c>
      <c r="D19" s="114">
        <f>+D20+D21</f>
        <v>4679243</v>
      </c>
      <c r="E19" s="114">
        <f>+E20+E21</f>
        <v>4737888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4769929</v>
      </c>
      <c r="D20" s="116">
        <f>+'A.2 RASHODI'!D22</f>
        <v>4608986</v>
      </c>
      <c r="E20" s="116">
        <f>+'A.2 RASHODI'!D39</f>
        <v>4677031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96257</v>
      </c>
      <c r="D21" s="116">
        <f>+'A.2 RASHODI'!D30</f>
        <v>70257</v>
      </c>
      <c r="E21" s="116">
        <f>+'A.2 RASHODI'!D47</f>
        <v>60857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41490</v>
      </c>
      <c r="D22" s="107">
        <f>+D16-D19</f>
        <v>43895</v>
      </c>
      <c r="E22" s="107">
        <f>+E16-E19</f>
        <v>47250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6"/>
      <c r="C23" s="355"/>
      <c r="D23" s="355"/>
      <c r="E23" s="355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54" t="s">
        <v>5085</v>
      </c>
      <c r="C24" s="355"/>
      <c r="D24" s="355"/>
      <c r="E24" s="355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1250500</v>
      </c>
      <c r="D29" s="115">
        <f>+'Unos prijenosa'!D13</f>
        <v>1291990</v>
      </c>
      <c r="E29" s="115">
        <f>+'Unos prijenosa'!D21</f>
        <v>1335885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-1291990</v>
      </c>
      <c r="D30" s="119">
        <f>+'Unos prijenosa'!D15</f>
        <v>-1335885</v>
      </c>
      <c r="E30" s="120">
        <f>+'Unos prijenosa'!D23</f>
        <v>-1383135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-41490</v>
      </c>
      <c r="D31" s="114">
        <f t="shared" ref="D31:E31" si="2">+D27-D28+D29+D30</f>
        <v>-43895</v>
      </c>
      <c r="E31" s="114">
        <f t="shared" si="2"/>
        <v>-47250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6"/>
      <c r="C32" s="355"/>
      <c r="D32" s="355"/>
      <c r="E32" s="355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54" t="s">
        <v>5270</v>
      </c>
      <c r="C55" s="355"/>
      <c r="D55" s="355"/>
      <c r="E55" s="355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54" t="s">
        <v>3</v>
      </c>
      <c r="C57" s="355"/>
      <c r="D57" s="355"/>
      <c r="E57" s="355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7" t="s">
        <v>5082</v>
      </c>
      <c r="C59" s="358"/>
      <c r="D59" s="358"/>
      <c r="E59" s="358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36976884.822000004</v>
      </c>
      <c r="D62" s="107">
        <f>+D63+D64</f>
        <v>35586483.261</v>
      </c>
      <c r="E62" s="107">
        <f>+E63+E64</f>
        <v>36053622.261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36961815.822000004</v>
      </c>
      <c r="D63" s="110">
        <f t="shared" ref="D63:E63" si="3">+D17*7.5345</f>
        <v>35571414.261</v>
      </c>
      <c r="E63" s="110">
        <f t="shared" si="3"/>
        <v>36038553.261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15069</v>
      </c>
      <c r="D64" s="110">
        <f t="shared" ref="D64:E67" si="4">+D18*7.5345</f>
        <v>15069</v>
      </c>
      <c r="E64" s="110">
        <f t="shared" si="4"/>
        <v>15069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36664278.417000003</v>
      </c>
      <c r="D65" s="114">
        <f>+D66+D67</f>
        <v>35255756.383500002</v>
      </c>
      <c r="E65" s="114">
        <f>+E66+E67</f>
        <v>35697617.136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35939030.050500005</v>
      </c>
      <c r="D66" s="110">
        <f t="shared" si="4"/>
        <v>34726405.017000005</v>
      </c>
      <c r="E66" s="110">
        <f t="shared" si="4"/>
        <v>35239090.069499999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725248.3665</v>
      </c>
      <c r="D67" s="110">
        <f t="shared" si="4"/>
        <v>529351.3665</v>
      </c>
      <c r="E67" s="110">
        <f t="shared" si="4"/>
        <v>458527.06650000002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312606.40500000119</v>
      </c>
      <c r="D68" s="107">
        <f>+D62-D65</f>
        <v>330726.87749999762</v>
      </c>
      <c r="E68" s="107">
        <f>+E62-E65</f>
        <v>356005.125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6"/>
      <c r="C69" s="355"/>
      <c r="D69" s="355"/>
      <c r="E69" s="355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54" t="s">
        <v>5085</v>
      </c>
      <c r="C70" s="355"/>
      <c r="D70" s="355"/>
      <c r="E70" s="355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9421892.25</v>
      </c>
      <c r="D75" s="110">
        <f t="shared" si="9"/>
        <v>9734498.6550000012</v>
      </c>
      <c r="E75" s="110">
        <f t="shared" si="9"/>
        <v>10065225.532500001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-9734498.6550000012</v>
      </c>
      <c r="D76" s="110">
        <f t="shared" si="10"/>
        <v>-10065225.532500001</v>
      </c>
      <c r="E76" s="110">
        <f t="shared" si="10"/>
        <v>-10421230.657500001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-312606.40500000119</v>
      </c>
      <c r="D77" s="114">
        <f t="shared" ref="D77:E77" si="11">+D73-D74+D75+D76</f>
        <v>-330726.87749999948</v>
      </c>
      <c r="E77" s="114">
        <f t="shared" si="11"/>
        <v>-356005.125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6"/>
      <c r="C78" s="355"/>
      <c r="D78" s="355"/>
      <c r="E78" s="355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-1.862645149230957E-9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8" t="s">
        <v>5115</v>
      </c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9" t="s">
        <v>236</v>
      </c>
      <c r="C4" s="370"/>
      <c r="D4" s="371" t="s">
        <v>1711</v>
      </c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  <c r="U4" s="373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9" t="s">
        <v>236</v>
      </c>
      <c r="C15" s="370"/>
      <c r="D15" s="371" t="s">
        <v>1782</v>
      </c>
      <c r="E15" s="372"/>
      <c r="F15" s="372"/>
      <c r="G15" s="372"/>
      <c r="H15" s="372"/>
      <c r="I15" s="372"/>
      <c r="J15" s="372"/>
      <c r="K15" s="372"/>
      <c r="L15" s="372"/>
      <c r="M15" s="372"/>
      <c r="N15" s="372"/>
      <c r="O15" s="372"/>
      <c r="P15" s="372"/>
      <c r="Q15" s="372"/>
      <c r="R15" s="372"/>
      <c r="S15" s="372"/>
      <c r="T15" s="372"/>
      <c r="U15" s="373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9" t="s">
        <v>236</v>
      </c>
      <c r="C26" s="370"/>
      <c r="D26" s="371" t="s">
        <v>3026</v>
      </c>
      <c r="E26" s="372"/>
      <c r="F26" s="372"/>
      <c r="G26" s="372"/>
      <c r="H26" s="372"/>
      <c r="I26" s="372"/>
      <c r="J26" s="372"/>
      <c r="K26" s="372"/>
      <c r="L26" s="372"/>
      <c r="M26" s="372"/>
      <c r="N26" s="372"/>
      <c r="O26" s="372"/>
      <c r="P26" s="372"/>
      <c r="Q26" s="372"/>
      <c r="R26" s="372"/>
      <c r="S26" s="372"/>
      <c r="T26" s="372"/>
      <c r="U26" s="373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topLeftCell="A308" workbookViewId="0">
      <selection activeCell="B333" sqref="B333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141" activePane="bottomRight" state="frozen"/>
      <selection pane="topRight" activeCell="B1" sqref="B1"/>
      <selection pane="bottomLeft" activeCell="A3" sqref="A3"/>
      <selection pane="bottomRight" activeCell="A155" sqref="A155"/>
    </sheetView>
  </sheetViews>
  <sheetFormatPr defaultRowHeight="15"/>
  <cols>
    <col min="1" max="1" width="22.5703125" customWidth="1"/>
    <col min="2" max="2" width="93.42578125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35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352" t="s">
        <v>2084</v>
      </c>
    </row>
    <row r="154" spans="1:2">
      <c r="A154" s="203" t="s">
        <v>2085</v>
      </c>
      <c r="B154" s="352" t="s">
        <v>2086</v>
      </c>
    </row>
    <row r="155" spans="1:2">
      <c r="A155" s="203" t="s">
        <v>2087</v>
      </c>
      <c r="B155" s="35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35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35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352" t="s">
        <v>3067</v>
      </c>
    </row>
    <row r="204" spans="1:2">
      <c r="A204" s="203" t="s">
        <v>3068</v>
      </c>
      <c r="B204" s="35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18" sqref="C18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4" t="s">
        <v>3542</v>
      </c>
      <c r="B1" s="374"/>
      <c r="C1" s="374"/>
      <c r="D1" s="374"/>
      <c r="E1" s="374"/>
      <c r="F1" s="374"/>
      <c r="G1" s="374"/>
      <c r="H1" s="374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5" t="s">
        <v>5080</v>
      </c>
      <c r="B615" s="375"/>
      <c r="C615" s="375"/>
      <c r="D615" s="375"/>
      <c r="E615" s="375"/>
      <c r="F615" s="375"/>
      <c r="G615" s="375"/>
      <c r="H615" s="375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54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I5" sqref="I5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5" t="s">
        <v>5271</v>
      </c>
      <c r="B1" s="365"/>
      <c r="C1" s="365"/>
      <c r="D1" s="365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3006144</v>
      </c>
      <c r="H3" s="128">
        <v>3006144</v>
      </c>
      <c r="I3" s="128">
        <v>3006144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252544</v>
      </c>
      <c r="H4" s="128">
        <v>252544</v>
      </c>
      <c r="I4" s="128">
        <v>252544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/>
      </c>
      <c r="B5" s="84" t="str">
        <f>IF(E5="","",VLOOKUP('OPĆI DIO'!$C$3,'OPĆI DIO'!$L$6:$U$138,9,FALSE))</f>
        <v/>
      </c>
      <c r="C5" s="130" t="str">
        <f t="shared" si="0"/>
        <v/>
      </c>
      <c r="D5" s="83" t="str">
        <f t="shared" si="1"/>
        <v/>
      </c>
      <c r="E5" s="95"/>
      <c r="F5" s="134" t="str">
        <f t="shared" si="2"/>
        <v/>
      </c>
      <c r="G5" s="128"/>
      <c r="H5" s="128"/>
      <c r="I5" s="128"/>
      <c r="J5" s="95"/>
      <c r="L5" s="86" t="str">
        <f t="shared" si="3"/>
        <v/>
      </c>
      <c r="M5" s="86" t="str">
        <f t="shared" si="4"/>
        <v/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31</v>
      </c>
      <c r="D6" s="83" t="str">
        <f t="shared" si="1"/>
        <v>Vlastiti prihodi</v>
      </c>
      <c r="E6" s="95">
        <v>642990031</v>
      </c>
      <c r="F6" s="134" t="str">
        <f t="shared" si="2"/>
        <v>Ostali prihodi od nefinancijske imovine izvor 31</v>
      </c>
      <c r="G6" s="128">
        <v>15000</v>
      </c>
      <c r="H6" s="128">
        <v>10000</v>
      </c>
      <c r="I6" s="128">
        <v>10000</v>
      </c>
      <c r="J6" s="95"/>
      <c r="L6" s="86" t="str">
        <f t="shared" si="3"/>
        <v>64</v>
      </c>
      <c r="M6" s="86" t="str">
        <f t="shared" si="4"/>
        <v>642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/>
      </c>
      <c r="B7" s="84" t="str">
        <f>IF(E7="","",VLOOKUP('OPĆI DIO'!$C$3,'OPĆI DIO'!$L$6:$U$138,9,FALSE))</f>
        <v/>
      </c>
      <c r="C7" s="130" t="str">
        <f t="shared" si="0"/>
        <v/>
      </c>
      <c r="D7" s="83" t="str">
        <f t="shared" si="1"/>
        <v/>
      </c>
      <c r="E7" s="95"/>
      <c r="F7" s="134" t="str">
        <f t="shared" si="2"/>
        <v/>
      </c>
      <c r="G7" s="128"/>
      <c r="H7" s="128"/>
      <c r="I7" s="128"/>
      <c r="J7" s="95"/>
      <c r="L7" s="86" t="str">
        <f t="shared" si="3"/>
        <v/>
      </c>
      <c r="M7" s="86" t="str">
        <f t="shared" si="4"/>
        <v/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51</v>
      </c>
      <c r="D8" s="83" t="str">
        <f t="shared" si="1"/>
        <v xml:space="preserve">Pomoći EU </v>
      </c>
      <c r="E8" s="95">
        <v>632311700</v>
      </c>
      <c r="F8" s="134" t="str">
        <f t="shared" si="2"/>
        <v>Tekuće pomoći od institucija i tijela EU - ostalo</v>
      </c>
      <c r="G8" s="128">
        <v>142000</v>
      </c>
      <c r="H8" s="128">
        <v>58000</v>
      </c>
      <c r="I8" s="128">
        <v>80000</v>
      </c>
      <c r="J8" s="95"/>
      <c r="L8" s="86" t="str">
        <f t="shared" si="3"/>
        <v>63</v>
      </c>
      <c r="M8" s="86" t="str">
        <f t="shared" si="4"/>
        <v>632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/>
      </c>
      <c r="B9" s="84" t="str">
        <f>IF(E9="","",VLOOKUP('OPĆI DIO'!$C$3,'OPĆI DIO'!$L$6:$U$138,9,FALSE))</f>
        <v/>
      </c>
      <c r="C9" s="130" t="str">
        <f t="shared" si="0"/>
        <v/>
      </c>
      <c r="D9" s="83" t="str">
        <f t="shared" si="1"/>
        <v/>
      </c>
      <c r="E9" s="95"/>
      <c r="F9" s="134" t="str">
        <f t="shared" si="2"/>
        <v/>
      </c>
      <c r="G9" s="128"/>
      <c r="H9" s="128"/>
      <c r="I9" s="128"/>
      <c r="J9" s="95"/>
      <c r="L9" s="86" t="str">
        <f t="shared" si="3"/>
        <v/>
      </c>
      <c r="M9" s="86" t="str">
        <f t="shared" si="4"/>
        <v/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52</v>
      </c>
      <c r="D10" s="83" t="str">
        <f t="shared" si="1"/>
        <v xml:space="preserve">Ostale pomoći i darovnice </v>
      </c>
      <c r="E10" s="95">
        <v>6391</v>
      </c>
      <c r="F10" s="134" t="str">
        <f t="shared" si="2"/>
        <v>Tekući prijenosi između proračunskih korisnika istog proračuna</v>
      </c>
      <c r="G10" s="128">
        <v>22430</v>
      </c>
      <c r="H10" s="128">
        <v>22430</v>
      </c>
      <c r="I10" s="128">
        <v>22430</v>
      </c>
      <c r="J10" s="95" t="s">
        <v>5293</v>
      </c>
      <c r="L10" s="86" t="str">
        <f t="shared" si="3"/>
        <v>63</v>
      </c>
      <c r="M10" s="86" t="str">
        <f t="shared" si="4"/>
        <v>639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52</v>
      </c>
      <c r="D11" s="83" t="str">
        <f t="shared" si="1"/>
        <v xml:space="preserve">Ostale pomoći i darovnice </v>
      </c>
      <c r="E11" s="95">
        <v>6393</v>
      </c>
      <c r="F11" s="134" t="str">
        <f t="shared" si="2"/>
        <v>Tekući prijenosi između proračunskih korisnika istog proračuna temeljem prijenosa EU sredstava</v>
      </c>
      <c r="G11" s="128">
        <v>33178</v>
      </c>
      <c r="H11" s="128">
        <v>0</v>
      </c>
      <c r="I11" s="128">
        <v>0</v>
      </c>
      <c r="J11" s="95" t="s">
        <v>5292</v>
      </c>
      <c r="L11" s="86" t="str">
        <f t="shared" si="3"/>
        <v>63</v>
      </c>
      <c r="M11" s="86" t="str">
        <f t="shared" si="4"/>
        <v>639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52</v>
      </c>
      <c r="D12" s="83" t="str">
        <f t="shared" si="1"/>
        <v xml:space="preserve">Ostale pomoći i darovnice </v>
      </c>
      <c r="E12" s="95">
        <v>6381</v>
      </c>
      <c r="F12" s="134" t="str">
        <f t="shared" si="2"/>
        <v>Tekuće pomoći temeljem prijenosa EU sredstava iz proračuna JLP(R)S, korisnika JLPRS ili izvanproračunskog korisnika</v>
      </c>
      <c r="G12" s="128">
        <v>67560</v>
      </c>
      <c r="H12" s="128"/>
      <c r="I12" s="128"/>
      <c r="J12" s="95"/>
      <c r="L12" s="86" t="str">
        <f t="shared" si="3"/>
        <v>63</v>
      </c>
      <c r="M12" s="86" t="str">
        <f t="shared" si="4"/>
        <v>638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31</v>
      </c>
      <c r="D13" s="83" t="str">
        <f t="shared" si="1"/>
        <v>Vlastiti prihodi</v>
      </c>
      <c r="E13" s="95">
        <v>641320031</v>
      </c>
      <c r="F13" s="134" t="str">
        <f t="shared" si="2"/>
        <v>Kamate na depozite po viđenju izvor 31</v>
      </c>
      <c r="G13" s="128">
        <v>5</v>
      </c>
      <c r="H13" s="128">
        <v>5</v>
      </c>
      <c r="I13" s="128">
        <v>5</v>
      </c>
      <c r="J13" s="95"/>
      <c r="L13" s="86" t="str">
        <f t="shared" si="3"/>
        <v>64</v>
      </c>
      <c r="M13" s="86" t="str">
        <f t="shared" si="4"/>
        <v>641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43</v>
      </c>
      <c r="D14" s="83" t="str">
        <f t="shared" si="1"/>
        <v>Ostali prihodi za posebne namjene</v>
      </c>
      <c r="E14" s="95">
        <v>641320043</v>
      </c>
      <c r="F14" s="134" t="str">
        <f t="shared" si="2"/>
        <v>Kamate na depozite po viđenju izvor 43</v>
      </c>
      <c r="G14" s="128">
        <v>15</v>
      </c>
      <c r="H14" s="128">
        <v>15</v>
      </c>
      <c r="I14" s="128">
        <v>15</v>
      </c>
      <c r="J14" s="95"/>
      <c r="L14" s="86" t="str">
        <f t="shared" si="3"/>
        <v>64</v>
      </c>
      <c r="M14" s="86" t="str">
        <f t="shared" si="4"/>
        <v>641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43</v>
      </c>
      <c r="D15" s="83" t="str">
        <f t="shared" si="1"/>
        <v>Ostali prihodi za posebne namjene</v>
      </c>
      <c r="E15" s="95">
        <v>65264</v>
      </c>
      <c r="F15" s="134" t="str">
        <f t="shared" si="2"/>
        <v>Sufinanciranje cijene usluge, participacije i slično</v>
      </c>
      <c r="G15" s="128">
        <v>1100000</v>
      </c>
      <c r="H15" s="128">
        <v>1110000</v>
      </c>
      <c r="I15" s="128">
        <v>1140000</v>
      </c>
      <c r="J15" s="95"/>
      <c r="L15" s="86" t="str">
        <f t="shared" si="3"/>
        <v>65</v>
      </c>
      <c r="M15" s="86" t="str">
        <f t="shared" si="4"/>
        <v>652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43</v>
      </c>
      <c r="D16" s="83" t="str">
        <f t="shared" si="1"/>
        <v>Ostali prihodi za posebne namjene</v>
      </c>
      <c r="E16" s="95">
        <v>652670043</v>
      </c>
      <c r="F16" s="134" t="str">
        <f t="shared" si="2"/>
        <v>Prihodi s naslova osiguranja, refundacije štete i totalne štete izvor 43</v>
      </c>
      <c r="G16" s="128">
        <v>5000</v>
      </c>
      <c r="H16" s="128">
        <v>5000</v>
      </c>
      <c r="I16" s="128">
        <v>5000</v>
      </c>
      <c r="J16" s="95"/>
      <c r="L16" s="86" t="str">
        <f t="shared" si="3"/>
        <v>65</v>
      </c>
      <c r="M16" s="86" t="str">
        <f t="shared" si="4"/>
        <v>652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>08006</v>
      </c>
      <c r="B17" s="84" t="str">
        <f>IF(E17="","",VLOOKUP('OPĆI DIO'!$C$3,'OPĆI DIO'!$L$6:$U$138,9,FALSE))</f>
        <v>Sveučilišta i veleučilišta u Republici Hrvatskoj</v>
      </c>
      <c r="C17" s="130">
        <f t="shared" si="0"/>
        <v>43</v>
      </c>
      <c r="D17" s="83" t="str">
        <f t="shared" si="1"/>
        <v>Ostali prihodi za posebne namjene</v>
      </c>
      <c r="E17" s="95">
        <v>65268</v>
      </c>
      <c r="F17" s="134" t="str">
        <f t="shared" si="2"/>
        <v xml:space="preserve">Ostali prihodi za posebne namjene </v>
      </c>
      <c r="G17" s="128">
        <v>10000</v>
      </c>
      <c r="H17" s="128">
        <v>15000</v>
      </c>
      <c r="I17" s="128">
        <v>10000</v>
      </c>
      <c r="J17" s="95"/>
      <c r="L17" s="86" t="str">
        <f t="shared" si="3"/>
        <v>65</v>
      </c>
      <c r="M17" s="86" t="str">
        <f t="shared" si="4"/>
        <v>652</v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>08006</v>
      </c>
      <c r="B18" s="84" t="str">
        <f>IF(E18="","",VLOOKUP('OPĆI DIO'!$C$3,'OPĆI DIO'!$L$6:$U$138,9,FALSE))</f>
        <v>Sveučilišta i veleučilišta u Republici Hrvatskoj</v>
      </c>
      <c r="C18" s="130">
        <f t="shared" si="0"/>
        <v>31</v>
      </c>
      <c r="D18" s="83" t="str">
        <f t="shared" si="1"/>
        <v>Vlastiti prihodi</v>
      </c>
      <c r="E18" s="95">
        <v>6614</v>
      </c>
      <c r="F18" s="134" t="str">
        <f t="shared" si="2"/>
        <v>Prihodi od prodanih proizvoda i robe</v>
      </c>
      <c r="G18" s="128">
        <v>7000</v>
      </c>
      <c r="H18" s="128">
        <v>7000</v>
      </c>
      <c r="I18" s="128">
        <v>7000</v>
      </c>
      <c r="J18" s="95"/>
      <c r="L18" s="86" t="str">
        <f t="shared" si="3"/>
        <v>66</v>
      </c>
      <c r="M18" s="86" t="str">
        <f t="shared" si="4"/>
        <v>661</v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>08006</v>
      </c>
      <c r="B19" s="84" t="str">
        <f>IF(E19="","",VLOOKUP('OPĆI DIO'!$C$3,'OPĆI DIO'!$L$6:$U$138,9,FALSE))</f>
        <v>Sveučilišta i veleučilišta u Republici Hrvatskoj</v>
      </c>
      <c r="C19" s="130">
        <f t="shared" si="0"/>
        <v>31</v>
      </c>
      <c r="D19" s="83" t="str">
        <f t="shared" si="1"/>
        <v>Vlastiti prihodi</v>
      </c>
      <c r="E19" s="95">
        <v>6615</v>
      </c>
      <c r="F19" s="134" t="str">
        <f t="shared" si="2"/>
        <v>Prihodi od pruženih usluga</v>
      </c>
      <c r="G19" s="128">
        <v>230000</v>
      </c>
      <c r="H19" s="128">
        <v>235000</v>
      </c>
      <c r="I19" s="128">
        <v>250000</v>
      </c>
      <c r="J19" s="95"/>
      <c r="L19" s="86" t="str">
        <f t="shared" si="3"/>
        <v>66</v>
      </c>
      <c r="M19" s="86" t="str">
        <f t="shared" si="4"/>
        <v>661</v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>
        <v>0</v>
      </c>
      <c r="H21" s="128">
        <v>0</v>
      </c>
      <c r="I21" s="128">
        <v>0</v>
      </c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>08006</v>
      </c>
      <c r="B22" s="84" t="str">
        <f>IF(E22="","",VLOOKUP('OPĆI DIO'!$C$3,'OPĆI DIO'!$L$6:$U$138,9,FALSE))</f>
        <v>Sveučilišta i veleučilišta u Republici Hrvatskoj</v>
      </c>
      <c r="C22" s="130">
        <f t="shared" si="0"/>
        <v>61</v>
      </c>
      <c r="D22" s="83" t="str">
        <f t="shared" si="1"/>
        <v xml:space="preserve">Donacije </v>
      </c>
      <c r="E22" s="95">
        <v>663130000</v>
      </c>
      <c r="F22" s="134" t="str">
        <f t="shared" si="2"/>
        <v>Tekuće donacije od trgovačkih društava</v>
      </c>
      <c r="G22" s="128">
        <v>14800</v>
      </c>
      <c r="H22" s="128">
        <v>0</v>
      </c>
      <c r="I22" s="128">
        <v>0</v>
      </c>
      <c r="J22" s="95"/>
      <c r="L22" s="86" t="str">
        <f t="shared" si="3"/>
        <v>66</v>
      </c>
      <c r="M22" s="86" t="str">
        <f t="shared" si="4"/>
        <v>663</v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>08006</v>
      </c>
      <c r="B25" s="84" t="str">
        <f>IF(E25="","",VLOOKUP('OPĆI DIO'!$C$3,'OPĆI DIO'!$L$6:$U$138,9,FALSE))</f>
        <v>Sveučilišta i veleučilišta u Republici Hrvatskoj</v>
      </c>
      <c r="C25" s="130">
        <f t="shared" si="0"/>
        <v>71</v>
      </c>
      <c r="D25" s="83" t="str">
        <f t="shared" si="1"/>
        <v>Prihodi od prodaje ili zamjene nefinancijske imovine i naknade s naslova osiguranja</v>
      </c>
      <c r="E25" s="95">
        <v>722110071</v>
      </c>
      <c r="F25" s="134" t="str">
        <f t="shared" si="2"/>
        <v>Računala i računalna oprema izvor 71</v>
      </c>
      <c r="G25" s="128">
        <v>1000</v>
      </c>
      <c r="H25" s="128">
        <v>1000</v>
      </c>
      <c r="I25" s="128">
        <v>1000</v>
      </c>
      <c r="J25" s="95"/>
      <c r="L25" s="86" t="str">
        <f t="shared" si="3"/>
        <v>72</v>
      </c>
      <c r="M25" s="86" t="str">
        <f t="shared" si="4"/>
        <v>722</v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>08006</v>
      </c>
      <c r="B26" s="84" t="str">
        <f>IF(E26="","",VLOOKUP('OPĆI DIO'!$C$3,'OPĆI DIO'!$L$6:$U$138,9,FALSE))</f>
        <v>Sveučilišta i veleučilišta u Republici Hrvatskoj</v>
      </c>
      <c r="C26" s="130">
        <f t="shared" si="0"/>
        <v>71</v>
      </c>
      <c r="D26" s="83" t="str">
        <f t="shared" si="1"/>
        <v>Prihodi od prodaje ili zamjene nefinancijske imovine i naknade s naslova osiguranja</v>
      </c>
      <c r="E26" s="95">
        <v>722120071</v>
      </c>
      <c r="F26" s="134" t="str">
        <f t="shared" si="2"/>
        <v>Uredski namještaj izvor 71</v>
      </c>
      <c r="G26" s="128">
        <v>1000</v>
      </c>
      <c r="H26" s="128">
        <v>1000</v>
      </c>
      <c r="I26" s="128">
        <v>1000</v>
      </c>
      <c r="J26" s="95"/>
      <c r="L26" s="86" t="str">
        <f t="shared" si="3"/>
        <v>72</v>
      </c>
      <c r="M26" s="86" t="str">
        <f t="shared" si="4"/>
        <v>722</v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100738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58" fitToHeight="0" orientation="landscape" horizontalDpi="4294967295" verticalDpi="4294967295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90" zoomScaleNormal="90" workbookViewId="0">
      <pane ySplit="2" topLeftCell="A3" activePane="bottomLeft" state="frozen"/>
      <selection pane="bottomLeft" activeCell="K25" sqref="K25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6" t="s">
        <v>5272</v>
      </c>
      <c r="B1" s="366"/>
      <c r="C1" s="366"/>
      <c r="D1" s="366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58</v>
      </c>
      <c r="H3" s="91" t="str">
        <f>IFERROR(VLOOKUP(G3,$AB$6:$AC$327,2,FALSE),"")</f>
        <v>REDOVNA DJELATNOST SVEUČILIŠTA U RIJECI</v>
      </c>
      <c r="I3" s="91" t="str">
        <f>IFERROR(VLOOKUP(G3,$AB$6:$AF$327,3,FALSE),"")</f>
        <v>0942</v>
      </c>
      <c r="J3" s="128">
        <v>2452942</v>
      </c>
      <c r="K3" s="128">
        <v>2452942</v>
      </c>
      <c r="L3" s="128">
        <v>2452942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58</v>
      </c>
      <c r="H4" s="91" t="str">
        <f t="shared" ref="H4:H67" si="3">IFERROR(VLOOKUP(G4,$AB$6:$AC$327,2,FALSE),"")</f>
        <v>REDOVNA DJELATNOST SVEUČILIŠTA U RIJECI</v>
      </c>
      <c r="I4" s="91" t="str">
        <f t="shared" ref="I4:I67" si="4">IFERROR(VLOOKUP(G4,$AB$6:$AF$327,3,FALSE),"")</f>
        <v>0942</v>
      </c>
      <c r="J4" s="128">
        <v>56299</v>
      </c>
      <c r="K4" s="128">
        <v>56299</v>
      </c>
      <c r="L4" s="128">
        <v>56299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58</v>
      </c>
      <c r="H5" s="91" t="str">
        <f t="shared" si="3"/>
        <v>REDOVNA DJELATNOST SVEUČILIŠTA U RIJECI</v>
      </c>
      <c r="I5" s="91" t="str">
        <f t="shared" si="4"/>
        <v>0942</v>
      </c>
      <c r="J5" s="128">
        <v>404735</v>
      </c>
      <c r="K5" s="128">
        <v>404735</v>
      </c>
      <c r="L5" s="128">
        <v>404735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58</v>
      </c>
      <c r="H6" s="91" t="str">
        <f t="shared" si="3"/>
        <v>REDOVNA DJELATNOST SVEUČILIŠTA U RIJECI</v>
      </c>
      <c r="I6" s="91" t="str">
        <f t="shared" si="4"/>
        <v>0942</v>
      </c>
      <c r="J6" s="128">
        <v>78824</v>
      </c>
      <c r="K6" s="128">
        <v>78824</v>
      </c>
      <c r="L6" s="128">
        <v>78824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3236</v>
      </c>
      <c r="F7" s="91" t="str">
        <f t="shared" si="2"/>
        <v>Zdravstvene i veterinarske usluge</v>
      </c>
      <c r="G7" s="129" t="s">
        <v>58</v>
      </c>
      <c r="H7" s="91" t="str">
        <f t="shared" si="3"/>
        <v>REDOVNA DJELATNOST SVEUČILIŠTA U RIJECI</v>
      </c>
      <c r="I7" s="91" t="str">
        <f t="shared" si="4"/>
        <v>0942</v>
      </c>
      <c r="J7" s="128">
        <v>8897</v>
      </c>
      <c r="K7" s="128">
        <v>8897</v>
      </c>
      <c r="L7" s="128">
        <v>8897</v>
      </c>
      <c r="M7" s="95"/>
      <c r="O7" s="86" t="str">
        <f t="shared" si="5"/>
        <v>323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3295</v>
      </c>
      <c r="F8" s="91" t="str">
        <f t="shared" si="2"/>
        <v>Pristojbe i naknade</v>
      </c>
      <c r="G8" s="129" t="s">
        <v>58</v>
      </c>
      <c r="H8" s="91" t="str">
        <f t="shared" si="3"/>
        <v>REDOVNA DJELATNOST SVEUČILIŠTA U RIJECI</v>
      </c>
      <c r="I8" s="91" t="str">
        <f t="shared" si="4"/>
        <v>0942</v>
      </c>
      <c r="J8" s="128">
        <v>4447</v>
      </c>
      <c r="K8" s="128">
        <v>4447</v>
      </c>
      <c r="L8" s="128">
        <v>4447</v>
      </c>
      <c r="M8" s="95"/>
      <c r="O8" s="86" t="str">
        <f t="shared" si="5"/>
        <v>329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3213</v>
      </c>
      <c r="F9" s="91" t="str">
        <f t="shared" si="2"/>
        <v>Stručno usavršavanje zaposlenika</v>
      </c>
      <c r="G9" s="129" t="s">
        <v>673</v>
      </c>
      <c r="H9" s="91" t="str">
        <f t="shared" si="3"/>
        <v>PROGRAMSKO FINANCIRANJE JAVNIH VISOKIH UČILIŠTA</v>
      </c>
      <c r="I9" s="91" t="str">
        <f t="shared" si="4"/>
        <v>0942</v>
      </c>
      <c r="J9" s="128">
        <v>8500</v>
      </c>
      <c r="K9" s="128">
        <v>8500</v>
      </c>
      <c r="L9" s="128">
        <v>8500</v>
      </c>
      <c r="M9" s="95"/>
      <c r="O9" s="86" t="str">
        <f t="shared" si="5"/>
        <v>321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3221</v>
      </c>
      <c r="F10" s="91" t="str">
        <f t="shared" si="2"/>
        <v>Uredski materijal i ostali materijalni rashodi</v>
      </c>
      <c r="G10" s="129" t="s">
        <v>673</v>
      </c>
      <c r="H10" s="91" t="str">
        <f t="shared" si="3"/>
        <v>PROGRAMSKO FINANCIRANJE JAVNIH VISOKIH UČILIŠTA</v>
      </c>
      <c r="I10" s="91" t="str">
        <f t="shared" si="4"/>
        <v>0942</v>
      </c>
      <c r="J10" s="128">
        <v>20000</v>
      </c>
      <c r="K10" s="128">
        <v>20000</v>
      </c>
      <c r="L10" s="128">
        <v>20000</v>
      </c>
      <c r="M10" s="95"/>
      <c r="O10" s="86" t="str">
        <f t="shared" si="5"/>
        <v>322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3222</v>
      </c>
      <c r="F11" s="91" t="str">
        <f t="shared" si="2"/>
        <v>Materijal i sirovine</v>
      </c>
      <c r="G11" s="129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10000</v>
      </c>
      <c r="K11" s="128">
        <v>10000</v>
      </c>
      <c r="L11" s="128">
        <v>10000</v>
      </c>
      <c r="M11" s="95"/>
      <c r="O11" s="86" t="str">
        <f t="shared" si="5"/>
        <v>322</v>
      </c>
      <c r="P11" s="86" t="str">
        <f t="shared" si="6"/>
        <v>32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3223</v>
      </c>
      <c r="F12" s="91" t="str">
        <f t="shared" si="2"/>
        <v>Energija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65000</v>
      </c>
      <c r="K12" s="128">
        <v>65000</v>
      </c>
      <c r="L12" s="128">
        <v>70000</v>
      </c>
      <c r="M12" s="95"/>
      <c r="O12" s="86" t="str">
        <f t="shared" si="5"/>
        <v>322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3224</v>
      </c>
      <c r="F13" s="91" t="str">
        <f t="shared" si="2"/>
        <v>Materijal i dijelovi za tekuće i investicijsko održavanje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18500</v>
      </c>
      <c r="K13" s="128">
        <v>19000</v>
      </c>
      <c r="L13" s="128">
        <v>19000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3225</v>
      </c>
      <c r="F14" s="91" t="str">
        <f t="shared" si="2"/>
        <v>Sitni inventar i auto gume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5000</v>
      </c>
      <c r="K14" s="128">
        <v>5500</v>
      </c>
      <c r="L14" s="128">
        <v>6000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3227</v>
      </c>
      <c r="F15" s="91" t="str">
        <f t="shared" si="2"/>
        <v>Službena, radna i zaštitna odjeća i obuća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600</v>
      </c>
      <c r="K15" s="128">
        <v>700</v>
      </c>
      <c r="L15" s="128">
        <v>800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3231</v>
      </c>
      <c r="F16" s="91" t="str">
        <f t="shared" si="2"/>
        <v>Usluge telefona, pošte i prijevoza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15000</v>
      </c>
      <c r="K16" s="128">
        <v>15000</v>
      </c>
      <c r="L16" s="128">
        <v>15000</v>
      </c>
      <c r="M16" s="95"/>
      <c r="O16" s="86" t="str">
        <f t="shared" si="5"/>
        <v>323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3232</v>
      </c>
      <c r="F17" s="91" t="str">
        <f t="shared" si="2"/>
        <v>Usluge tekućeg i investicijskog održavanja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5000</v>
      </c>
      <c r="K17" s="128">
        <v>5000</v>
      </c>
      <c r="L17" s="128">
        <v>5000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3233</v>
      </c>
      <c r="F18" s="91" t="str">
        <f t="shared" si="2"/>
        <v>Usluge promidžbe i informiranja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9500</v>
      </c>
      <c r="K18" s="128">
        <v>9500</v>
      </c>
      <c r="L18" s="128">
        <v>9500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3234</v>
      </c>
      <c r="F19" s="91" t="str">
        <f t="shared" si="2"/>
        <v>Komunalne usluge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15000</v>
      </c>
      <c r="K19" s="128">
        <v>15000</v>
      </c>
      <c r="L19" s="128">
        <v>15000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3235</v>
      </c>
      <c r="F20" s="91" t="str">
        <f t="shared" si="2"/>
        <v>Zakupnine i najamnine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6500</v>
      </c>
      <c r="K20" s="128">
        <v>7000</v>
      </c>
      <c r="L20" s="128">
        <v>7500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3237</v>
      </c>
      <c r="F21" s="91" t="str">
        <f t="shared" si="2"/>
        <v>Intelektualne i osobne usluge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10000</v>
      </c>
      <c r="K21" s="128">
        <v>10000</v>
      </c>
      <c r="L21" s="128">
        <v>10000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3239</v>
      </c>
      <c r="F22" s="91" t="str">
        <f t="shared" si="2"/>
        <v>Ostale usluge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7040</v>
      </c>
      <c r="K22" s="128">
        <v>8000</v>
      </c>
      <c r="L22" s="128">
        <v>3000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3292</v>
      </c>
      <c r="F23" s="91" t="str">
        <f t="shared" si="2"/>
        <v>Premije osiguranja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10000</v>
      </c>
      <c r="K23" s="128">
        <v>10000</v>
      </c>
      <c r="L23" s="128">
        <v>10000</v>
      </c>
      <c r="M23" s="95"/>
      <c r="O23" s="86" t="str">
        <f t="shared" si="5"/>
        <v>329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3295</v>
      </c>
      <c r="F24" s="91" t="str">
        <f t="shared" si="2"/>
        <v>Pristojbe i naknade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1000</v>
      </c>
      <c r="K24" s="128">
        <v>1000</v>
      </c>
      <c r="L24" s="128">
        <v>1000</v>
      </c>
      <c r="M24" s="95"/>
      <c r="O24" s="86" t="str">
        <f t="shared" si="5"/>
        <v>329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3299</v>
      </c>
      <c r="F25" s="91" t="str">
        <f t="shared" si="2"/>
        <v>Ostali nespomenuti rashodi poslovanja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5059</v>
      </c>
      <c r="K25" s="128">
        <v>2499</v>
      </c>
      <c r="L25" s="128">
        <v>4399</v>
      </c>
      <c r="M25" s="95"/>
      <c r="O25" s="86" t="str">
        <f t="shared" si="5"/>
        <v>329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3431</v>
      </c>
      <c r="F26" s="91" t="str">
        <f t="shared" si="2"/>
        <v>Bankarske usluge i usluge platnog prometa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2188</v>
      </c>
      <c r="K26" s="128">
        <v>2188</v>
      </c>
      <c r="L26" s="128">
        <v>2188</v>
      </c>
      <c r="M26" s="95"/>
      <c r="O26" s="86" t="str">
        <f t="shared" si="5"/>
        <v>343</v>
      </c>
      <c r="P26" s="86" t="str">
        <f t="shared" si="6"/>
        <v>34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4221</v>
      </c>
      <c r="F27" s="91" t="str">
        <f t="shared" si="2"/>
        <v>Uredska oprema i namještaj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5000</v>
      </c>
      <c r="K27" s="128">
        <v>3000</v>
      </c>
      <c r="L27" s="128">
        <v>3000</v>
      </c>
      <c r="M27" s="95"/>
      <c r="O27" s="86" t="str">
        <f t="shared" si="5"/>
        <v>422</v>
      </c>
      <c r="P27" s="86" t="str">
        <f t="shared" si="6"/>
        <v>42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4222</v>
      </c>
      <c r="F28" s="91" t="str">
        <f t="shared" si="2"/>
        <v>Komunikacijska oprema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2500</v>
      </c>
      <c r="K28" s="128">
        <v>2500</v>
      </c>
      <c r="L28" s="128">
        <v>2500</v>
      </c>
      <c r="M28" s="95"/>
      <c r="O28" s="86" t="str">
        <f t="shared" si="5"/>
        <v>422</v>
      </c>
      <c r="P28" s="86" t="str">
        <f t="shared" si="6"/>
        <v>42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4227</v>
      </c>
      <c r="F29" s="91" t="str">
        <f t="shared" si="2"/>
        <v>Uređaji, strojevi i oprema za ostale namjene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9157</v>
      </c>
      <c r="K29" s="128">
        <v>11157</v>
      </c>
      <c r="L29" s="128">
        <v>11157</v>
      </c>
      <c r="M29" s="95"/>
      <c r="O29" s="86" t="str">
        <f t="shared" si="5"/>
        <v>422</v>
      </c>
      <c r="P29" s="86" t="str">
        <f t="shared" si="6"/>
        <v>42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4241</v>
      </c>
      <c r="F30" s="91" t="str">
        <f t="shared" si="2"/>
        <v>Knjige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11000</v>
      </c>
      <c r="K30" s="128">
        <v>11000</v>
      </c>
      <c r="L30" s="128">
        <v>11000</v>
      </c>
      <c r="M30" s="95"/>
      <c r="O30" s="86" t="str">
        <f t="shared" si="5"/>
        <v>424</v>
      </c>
      <c r="P30" s="86" t="str">
        <f t="shared" si="6"/>
        <v>42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3238</v>
      </c>
      <c r="F31" s="91" t="str">
        <f t="shared" si="2"/>
        <v>Računalne usluge</v>
      </c>
      <c r="G31" s="129" t="s">
        <v>673</v>
      </c>
      <c r="H31" s="91" t="str">
        <f t="shared" si="3"/>
        <v>PROGRAMSKO FINANCIRANJE JAVNIH VISOKIH UČILIŠTA</v>
      </c>
      <c r="I31" s="91" t="str">
        <f t="shared" si="4"/>
        <v>0942</v>
      </c>
      <c r="J31" s="128">
        <v>8000</v>
      </c>
      <c r="K31" s="128">
        <v>8000</v>
      </c>
      <c r="L31" s="128">
        <v>5000</v>
      </c>
      <c r="M31" s="95"/>
      <c r="O31" s="86" t="str">
        <f t="shared" si="5"/>
        <v>323</v>
      </c>
      <c r="P31" s="86" t="str">
        <f t="shared" si="6"/>
        <v>32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11</v>
      </c>
      <c r="D32" s="91" t="str">
        <f t="shared" si="1"/>
        <v>Opći prihodi i primici</v>
      </c>
      <c r="E32" s="96">
        <v>3294</v>
      </c>
      <c r="F32" s="91" t="str">
        <f t="shared" si="2"/>
        <v>Članarine i norme</v>
      </c>
      <c r="G32" s="129" t="s">
        <v>673</v>
      </c>
      <c r="H32" s="91" t="str">
        <f t="shared" si="3"/>
        <v>PROGRAMSKO FINANCIRANJE JAVNIH VISOKIH UČILIŠTA</v>
      </c>
      <c r="I32" s="91" t="str">
        <f t="shared" si="4"/>
        <v>0942</v>
      </c>
      <c r="J32" s="128">
        <v>3000</v>
      </c>
      <c r="K32" s="128">
        <v>3000</v>
      </c>
      <c r="L32" s="128">
        <v>3000</v>
      </c>
      <c r="M32" s="95"/>
      <c r="O32" s="86" t="str">
        <f t="shared" si="5"/>
        <v>329</v>
      </c>
      <c r="P32" s="86" t="str">
        <f t="shared" si="6"/>
        <v>32</v>
      </c>
      <c r="Q32" s="86" t="str">
        <f t="shared" si="7"/>
        <v>11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/>
      </c>
      <c r="B33" s="90" t="str">
        <f>IF(C33="","",VLOOKUP('OPĆI DIO'!$C$3,'OPĆI DIO'!$L$6:$U$138,9,FALSE))</f>
        <v/>
      </c>
      <c r="C33" s="96"/>
      <c r="D33" s="91" t="str">
        <f t="shared" si="1"/>
        <v/>
      </c>
      <c r="E33" s="96"/>
      <c r="F33" s="91" t="str">
        <f t="shared" si="2"/>
        <v/>
      </c>
      <c r="G33" s="129"/>
      <c r="H33" s="91" t="str">
        <f t="shared" si="3"/>
        <v/>
      </c>
      <c r="I33" s="91" t="str">
        <f t="shared" si="4"/>
        <v/>
      </c>
      <c r="J33" s="128"/>
      <c r="K33" s="128"/>
      <c r="L33" s="128"/>
      <c r="M33" s="95"/>
      <c r="O33" s="86" t="str">
        <f t="shared" si="5"/>
        <v/>
      </c>
      <c r="P33" s="86" t="str">
        <f t="shared" si="6"/>
        <v/>
      </c>
      <c r="Q33" s="86" t="str">
        <f t="shared" si="7"/>
        <v/>
      </c>
      <c r="R33" s="86" t="str">
        <f t="shared" si="8"/>
        <v/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31</v>
      </c>
      <c r="D34" s="91" t="str">
        <f t="shared" si="1"/>
        <v>Vlastiti prihodi</v>
      </c>
      <c r="E34" s="96">
        <v>3111</v>
      </c>
      <c r="F34" s="91" t="str">
        <f t="shared" si="2"/>
        <v>Plaće za redovan rad</v>
      </c>
      <c r="G34" s="129" t="s">
        <v>174</v>
      </c>
      <c r="H34" s="91" t="str">
        <f t="shared" si="3"/>
        <v>REDOVNA DJELATNOST SVEUČILIŠTA U RIJECI (IZ EVIDENCIJSKIH PRIHODA)</v>
      </c>
      <c r="I34" s="91" t="str">
        <f t="shared" si="4"/>
        <v>0942</v>
      </c>
      <c r="J34" s="128">
        <v>30000</v>
      </c>
      <c r="K34" s="128">
        <v>30000</v>
      </c>
      <c r="L34" s="128">
        <v>32000</v>
      </c>
      <c r="M34" s="95"/>
      <c r="O34" s="86" t="str">
        <f t="shared" si="5"/>
        <v>311</v>
      </c>
      <c r="P34" s="86" t="str">
        <f t="shared" si="6"/>
        <v>31</v>
      </c>
      <c r="Q34" s="86" t="str">
        <f t="shared" si="7"/>
        <v>31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31</v>
      </c>
      <c r="D35" s="91" t="str">
        <f t="shared" si="1"/>
        <v>Vlastiti prihodi</v>
      </c>
      <c r="E35" s="96">
        <v>3121</v>
      </c>
      <c r="F35" s="91" t="str">
        <f t="shared" si="2"/>
        <v>Ostali rashodi za zaposlene</v>
      </c>
      <c r="G35" s="129" t="s">
        <v>174</v>
      </c>
      <c r="H35" s="91" t="str">
        <f t="shared" si="3"/>
        <v>REDOVNA DJELATNOST SVEUČILIŠTA U RIJECI (IZ EVIDENCIJSKIH PRIHODA)</v>
      </c>
      <c r="I35" s="91" t="str">
        <f t="shared" si="4"/>
        <v>0942</v>
      </c>
      <c r="J35" s="128">
        <v>1500</v>
      </c>
      <c r="K35" s="128">
        <v>1500</v>
      </c>
      <c r="L35" s="128">
        <v>1500</v>
      </c>
      <c r="M35" s="95"/>
      <c r="O35" s="86" t="str">
        <f t="shared" si="5"/>
        <v>312</v>
      </c>
      <c r="P35" s="86" t="str">
        <f t="shared" si="6"/>
        <v>31</v>
      </c>
      <c r="Q35" s="86" t="str">
        <f t="shared" si="7"/>
        <v>31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31</v>
      </c>
      <c r="D36" s="91" t="str">
        <f t="shared" si="1"/>
        <v>Vlastiti prihodi</v>
      </c>
      <c r="E36" s="96">
        <v>3132</v>
      </c>
      <c r="F36" s="91" t="str">
        <f t="shared" si="2"/>
        <v>Doprinosi za obvezno zdravstveno osiguranje</v>
      </c>
      <c r="G36" s="129" t="s">
        <v>174</v>
      </c>
      <c r="H36" s="91" t="str">
        <f t="shared" si="3"/>
        <v>REDOVNA DJELATNOST SVEUČILIŠTA U RIJECI (IZ EVIDENCIJSKIH PRIHODA)</v>
      </c>
      <c r="I36" s="91" t="str">
        <f t="shared" si="4"/>
        <v>0942</v>
      </c>
      <c r="J36" s="128">
        <v>4950</v>
      </c>
      <c r="K36" s="128">
        <f>+K34*0.165</f>
        <v>4950</v>
      </c>
      <c r="L36" s="128">
        <v>5280</v>
      </c>
      <c r="M36" s="95"/>
      <c r="O36" s="86" t="str">
        <f t="shared" si="5"/>
        <v>313</v>
      </c>
      <c r="P36" s="86" t="str">
        <f t="shared" si="6"/>
        <v>31</v>
      </c>
      <c r="Q36" s="86" t="str">
        <f t="shared" si="7"/>
        <v>31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3211</v>
      </c>
      <c r="F37" s="91" t="str">
        <f t="shared" si="2"/>
        <v>Službena putovanja</v>
      </c>
      <c r="G37" s="129" t="s">
        <v>174</v>
      </c>
      <c r="H37" s="91" t="str">
        <f t="shared" si="3"/>
        <v>REDOVNA DJELATNOST SVEUČILIŠTA U RIJECI (IZ EVIDENCIJSKIH PRIHODA)</v>
      </c>
      <c r="I37" s="91" t="str">
        <f t="shared" si="4"/>
        <v>0942</v>
      </c>
      <c r="J37" s="128">
        <v>10000</v>
      </c>
      <c r="K37" s="128">
        <v>10000</v>
      </c>
      <c r="L37" s="128">
        <v>12000</v>
      </c>
      <c r="M37" s="95"/>
      <c r="O37" s="86" t="str">
        <f t="shared" si="5"/>
        <v>321</v>
      </c>
      <c r="P37" s="86" t="str">
        <f t="shared" si="6"/>
        <v>32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31</v>
      </c>
      <c r="D38" s="91" t="str">
        <f t="shared" si="1"/>
        <v>Vlastiti prihodi</v>
      </c>
      <c r="E38" s="96">
        <v>3213</v>
      </c>
      <c r="F38" s="91" t="str">
        <f t="shared" si="2"/>
        <v>Stručno usavršavanje zaposlenika</v>
      </c>
      <c r="G38" s="129" t="s">
        <v>174</v>
      </c>
      <c r="H38" s="91" t="str">
        <f t="shared" si="3"/>
        <v>REDOVNA DJELATNOST SVEUČILIŠTA U RIJECI (IZ EVIDENCIJSKIH PRIHODA)</v>
      </c>
      <c r="I38" s="91" t="str">
        <f t="shared" si="4"/>
        <v>0942</v>
      </c>
      <c r="J38" s="128">
        <v>2500</v>
      </c>
      <c r="K38" s="128">
        <v>3000</v>
      </c>
      <c r="L38" s="128">
        <v>3500</v>
      </c>
      <c r="M38" s="95"/>
      <c r="O38" s="86" t="str">
        <f t="shared" si="5"/>
        <v>321</v>
      </c>
      <c r="P38" s="86" t="str">
        <f t="shared" si="6"/>
        <v>32</v>
      </c>
      <c r="Q38" s="86" t="str">
        <f t="shared" si="7"/>
        <v>31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31</v>
      </c>
      <c r="D39" s="91" t="str">
        <f t="shared" si="1"/>
        <v>Vlastiti prihodi</v>
      </c>
      <c r="E39" s="96">
        <v>3221</v>
      </c>
      <c r="F39" s="91" t="str">
        <f t="shared" si="2"/>
        <v>Uredski materijal i ostali materijalni rashodi</v>
      </c>
      <c r="G39" s="129" t="s">
        <v>174</v>
      </c>
      <c r="H39" s="91" t="str">
        <f t="shared" si="3"/>
        <v>REDOVNA DJELATNOST SVEUČILIŠTA U RIJECI (IZ EVIDENCIJSKIH PRIHODA)</v>
      </c>
      <c r="I39" s="91" t="str">
        <f t="shared" si="4"/>
        <v>0942</v>
      </c>
      <c r="J39" s="128">
        <v>3000</v>
      </c>
      <c r="K39" s="128">
        <v>3500</v>
      </c>
      <c r="L39" s="128">
        <v>4000</v>
      </c>
      <c r="M39" s="95"/>
      <c r="O39" s="86" t="str">
        <f t="shared" si="5"/>
        <v>322</v>
      </c>
      <c r="P39" s="86" t="str">
        <f t="shared" si="6"/>
        <v>32</v>
      </c>
      <c r="Q39" s="86" t="str">
        <f t="shared" si="7"/>
        <v>31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31</v>
      </c>
      <c r="D40" s="91" t="str">
        <f t="shared" si="1"/>
        <v>Vlastiti prihodi</v>
      </c>
      <c r="E40" s="96">
        <v>3222</v>
      </c>
      <c r="F40" s="91" t="str">
        <f t="shared" si="2"/>
        <v>Materijal i sirovine</v>
      </c>
      <c r="G40" s="129" t="s">
        <v>174</v>
      </c>
      <c r="H40" s="91" t="str">
        <f t="shared" si="3"/>
        <v>REDOVNA DJELATNOST SVEUČILIŠTA U RIJECI (IZ EVIDENCIJSKIH PRIHODA)</v>
      </c>
      <c r="I40" s="91" t="str">
        <f t="shared" si="4"/>
        <v>0942</v>
      </c>
      <c r="J40" s="128">
        <v>5000</v>
      </c>
      <c r="K40" s="128">
        <v>5000</v>
      </c>
      <c r="L40" s="128">
        <v>6000</v>
      </c>
      <c r="M40" s="95"/>
      <c r="O40" s="86" t="str">
        <f t="shared" si="5"/>
        <v>322</v>
      </c>
      <c r="P40" s="86" t="str">
        <f t="shared" si="6"/>
        <v>32</v>
      </c>
      <c r="Q40" s="86" t="str">
        <f t="shared" si="7"/>
        <v>31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31</v>
      </c>
      <c r="D41" s="91" t="str">
        <f t="shared" si="1"/>
        <v>Vlastiti prihodi</v>
      </c>
      <c r="E41" s="96">
        <v>3223</v>
      </c>
      <c r="F41" s="91" t="str">
        <f t="shared" si="2"/>
        <v>Energija</v>
      </c>
      <c r="G41" s="129" t="s">
        <v>174</v>
      </c>
      <c r="H41" s="91" t="str">
        <f t="shared" si="3"/>
        <v>REDOVNA DJELATNOST SVEUČILIŠTA U RIJECI (IZ EVIDENCIJSKIH PRIHODA)</v>
      </c>
      <c r="I41" s="91" t="str">
        <f t="shared" si="4"/>
        <v>0942</v>
      </c>
      <c r="J41" s="128">
        <v>4000</v>
      </c>
      <c r="K41" s="128">
        <v>4100</v>
      </c>
      <c r="L41" s="128">
        <v>4200</v>
      </c>
      <c r="M41" s="95"/>
      <c r="O41" s="86" t="str">
        <f t="shared" si="5"/>
        <v>322</v>
      </c>
      <c r="P41" s="86" t="str">
        <f t="shared" si="6"/>
        <v>32</v>
      </c>
      <c r="Q41" s="86" t="str">
        <f t="shared" si="7"/>
        <v>31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31</v>
      </c>
      <c r="D42" s="91" t="str">
        <f t="shared" si="1"/>
        <v>Vlastiti prihodi</v>
      </c>
      <c r="E42" s="96">
        <v>3224</v>
      </c>
      <c r="F42" s="91" t="str">
        <f t="shared" si="2"/>
        <v>Materijal i dijelovi za tekuće i investicijsko održavanje</v>
      </c>
      <c r="G42" s="129" t="s">
        <v>174</v>
      </c>
      <c r="H42" s="91" t="str">
        <f t="shared" si="3"/>
        <v>REDOVNA DJELATNOST SVEUČILIŠTA U RIJECI (IZ EVIDENCIJSKIH PRIHODA)</v>
      </c>
      <c r="I42" s="91" t="str">
        <f t="shared" si="4"/>
        <v>0942</v>
      </c>
      <c r="J42" s="128">
        <v>7000</v>
      </c>
      <c r="K42" s="128">
        <v>7000</v>
      </c>
      <c r="L42" s="128">
        <v>8500</v>
      </c>
      <c r="M42" s="95"/>
      <c r="O42" s="86" t="str">
        <f t="shared" si="5"/>
        <v>322</v>
      </c>
      <c r="P42" s="86" t="str">
        <f t="shared" si="6"/>
        <v>32</v>
      </c>
      <c r="Q42" s="86" t="str">
        <f t="shared" si="7"/>
        <v>31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31</v>
      </c>
      <c r="D43" s="91" t="str">
        <f t="shared" si="1"/>
        <v>Vlastiti prihodi</v>
      </c>
      <c r="E43" s="96">
        <v>3225</v>
      </c>
      <c r="F43" s="91" t="str">
        <f t="shared" si="2"/>
        <v>Sitni inventar i auto gume</v>
      </c>
      <c r="G43" s="129" t="s">
        <v>174</v>
      </c>
      <c r="H43" s="91" t="str">
        <f t="shared" si="3"/>
        <v>REDOVNA DJELATNOST SVEUČILIŠTA U RIJECI (IZ EVIDENCIJSKIH PRIHODA)</v>
      </c>
      <c r="I43" s="91" t="str">
        <f t="shared" si="4"/>
        <v>0942</v>
      </c>
      <c r="J43" s="128">
        <v>3000</v>
      </c>
      <c r="K43" s="128">
        <v>3000</v>
      </c>
      <c r="L43" s="128">
        <v>3000</v>
      </c>
      <c r="M43" s="95"/>
      <c r="O43" s="86" t="str">
        <f t="shared" si="5"/>
        <v>322</v>
      </c>
      <c r="P43" s="86" t="str">
        <f t="shared" si="6"/>
        <v>32</v>
      </c>
      <c r="Q43" s="86" t="str">
        <f t="shared" si="7"/>
        <v>31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31</v>
      </c>
      <c r="D44" s="91" t="str">
        <f t="shared" si="1"/>
        <v>Vlastiti prihodi</v>
      </c>
      <c r="E44" s="96">
        <v>3227</v>
      </c>
      <c r="F44" s="91" t="str">
        <f t="shared" si="2"/>
        <v>Službena, radna i zaštitna odjeća i obuća</v>
      </c>
      <c r="G44" s="129" t="s">
        <v>174</v>
      </c>
      <c r="H44" s="91" t="str">
        <f t="shared" si="3"/>
        <v>REDOVNA DJELATNOST SVEUČILIŠTA U RIJECI (IZ EVIDENCIJSKIH PRIHODA)</v>
      </c>
      <c r="I44" s="91" t="str">
        <f t="shared" si="4"/>
        <v>0942</v>
      </c>
      <c r="J44" s="128">
        <v>500</v>
      </c>
      <c r="K44" s="128">
        <v>500</v>
      </c>
      <c r="L44" s="128">
        <v>500</v>
      </c>
      <c r="M44" s="95"/>
      <c r="O44" s="86" t="str">
        <f t="shared" si="5"/>
        <v>322</v>
      </c>
      <c r="P44" s="86" t="str">
        <f t="shared" si="6"/>
        <v>32</v>
      </c>
      <c r="Q44" s="86" t="str">
        <f t="shared" si="7"/>
        <v>31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31</v>
      </c>
      <c r="D45" s="91" t="str">
        <f t="shared" si="1"/>
        <v>Vlastiti prihodi</v>
      </c>
      <c r="E45" s="96">
        <v>3231</v>
      </c>
      <c r="F45" s="91" t="str">
        <f t="shared" si="2"/>
        <v>Usluge telefona, pošte i prijevoza</v>
      </c>
      <c r="G45" s="129" t="s">
        <v>174</v>
      </c>
      <c r="H45" s="91" t="str">
        <f t="shared" si="3"/>
        <v>REDOVNA DJELATNOST SVEUČILIŠTA U RIJECI (IZ EVIDENCIJSKIH PRIHODA)</v>
      </c>
      <c r="I45" s="91" t="str">
        <f t="shared" si="4"/>
        <v>0942</v>
      </c>
      <c r="J45" s="128">
        <v>2500</v>
      </c>
      <c r="K45" s="128">
        <v>2500</v>
      </c>
      <c r="L45" s="128">
        <v>2500</v>
      </c>
      <c r="M45" s="95"/>
      <c r="O45" s="86" t="str">
        <f t="shared" si="5"/>
        <v>323</v>
      </c>
      <c r="P45" s="86" t="str">
        <f t="shared" si="6"/>
        <v>32</v>
      </c>
      <c r="Q45" s="86" t="str">
        <f t="shared" si="7"/>
        <v>31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31</v>
      </c>
      <c r="D46" s="91" t="str">
        <f t="shared" si="1"/>
        <v>Vlastiti prihodi</v>
      </c>
      <c r="E46" s="96">
        <v>3232</v>
      </c>
      <c r="F46" s="91" t="str">
        <f t="shared" si="2"/>
        <v>Usluge tekućeg i investicijskog održavanja</v>
      </c>
      <c r="G46" s="129" t="s">
        <v>174</v>
      </c>
      <c r="H46" s="91" t="str">
        <f t="shared" si="3"/>
        <v>REDOVNA DJELATNOST SVEUČILIŠTA U RIJECI (IZ EVIDENCIJSKIH PRIHODA)</v>
      </c>
      <c r="I46" s="91" t="str">
        <f t="shared" si="4"/>
        <v>0942</v>
      </c>
      <c r="J46" s="128">
        <v>10000</v>
      </c>
      <c r="K46" s="128">
        <v>10000</v>
      </c>
      <c r="L46" s="128">
        <v>10000</v>
      </c>
      <c r="M46" s="95"/>
      <c r="O46" s="86" t="str">
        <f t="shared" si="5"/>
        <v>323</v>
      </c>
      <c r="P46" s="86" t="str">
        <f t="shared" si="6"/>
        <v>32</v>
      </c>
      <c r="Q46" s="86" t="str">
        <f t="shared" si="7"/>
        <v>31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31</v>
      </c>
      <c r="D47" s="91" t="str">
        <f t="shared" si="1"/>
        <v>Vlastiti prihodi</v>
      </c>
      <c r="E47" s="96">
        <v>3233</v>
      </c>
      <c r="F47" s="91" t="str">
        <f t="shared" si="2"/>
        <v>Usluge promidžbe i informiranja</v>
      </c>
      <c r="G47" s="129" t="s">
        <v>174</v>
      </c>
      <c r="H47" s="91" t="str">
        <f t="shared" si="3"/>
        <v>REDOVNA DJELATNOST SVEUČILIŠTA U RIJECI (IZ EVIDENCIJSKIH PRIHODA)</v>
      </c>
      <c r="I47" s="91" t="str">
        <f t="shared" si="4"/>
        <v>0942</v>
      </c>
      <c r="J47" s="128">
        <v>16000</v>
      </c>
      <c r="K47" s="128">
        <v>16000</v>
      </c>
      <c r="L47" s="128">
        <v>16600</v>
      </c>
      <c r="M47" s="95"/>
      <c r="O47" s="86" t="str">
        <f t="shared" si="5"/>
        <v>323</v>
      </c>
      <c r="P47" s="86" t="str">
        <f t="shared" si="6"/>
        <v>32</v>
      </c>
      <c r="Q47" s="86" t="str">
        <f t="shared" si="7"/>
        <v>31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31</v>
      </c>
      <c r="D48" s="91" t="str">
        <f t="shared" si="1"/>
        <v>Vlastiti prihodi</v>
      </c>
      <c r="E48" s="96">
        <v>3234</v>
      </c>
      <c r="F48" s="91" t="str">
        <f t="shared" si="2"/>
        <v>Komunalne usluge</v>
      </c>
      <c r="G48" s="129" t="s">
        <v>174</v>
      </c>
      <c r="H48" s="91" t="str">
        <f t="shared" si="3"/>
        <v>REDOVNA DJELATNOST SVEUČILIŠTA U RIJECI (IZ EVIDENCIJSKIH PRIHODA)</v>
      </c>
      <c r="I48" s="91" t="str">
        <f t="shared" si="4"/>
        <v>0942</v>
      </c>
      <c r="J48" s="128">
        <v>1000</v>
      </c>
      <c r="K48" s="128">
        <v>1000</v>
      </c>
      <c r="L48" s="128">
        <v>1000</v>
      </c>
      <c r="M48" s="95"/>
      <c r="O48" s="86" t="str">
        <f t="shared" si="5"/>
        <v>323</v>
      </c>
      <c r="P48" s="86" t="str">
        <f t="shared" si="6"/>
        <v>32</v>
      </c>
      <c r="Q48" s="86" t="str">
        <f t="shared" si="7"/>
        <v>31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31</v>
      </c>
      <c r="D49" s="91" t="str">
        <f t="shared" si="1"/>
        <v>Vlastiti prihodi</v>
      </c>
      <c r="E49" s="96">
        <v>3235</v>
      </c>
      <c r="F49" s="91" t="str">
        <f t="shared" si="2"/>
        <v>Zakupnine i najamnine</v>
      </c>
      <c r="G49" s="129" t="s">
        <v>174</v>
      </c>
      <c r="H49" s="91" t="str">
        <f t="shared" si="3"/>
        <v>REDOVNA DJELATNOST SVEUČILIŠTA U RIJECI (IZ EVIDENCIJSKIH PRIHODA)</v>
      </c>
      <c r="I49" s="91" t="str">
        <f t="shared" si="4"/>
        <v>0942</v>
      </c>
      <c r="J49" s="128">
        <v>6000</v>
      </c>
      <c r="K49" s="128">
        <v>6000</v>
      </c>
      <c r="L49" s="128">
        <v>6000</v>
      </c>
      <c r="M49" s="95"/>
      <c r="O49" s="86" t="str">
        <f t="shared" si="5"/>
        <v>323</v>
      </c>
      <c r="P49" s="86" t="str">
        <f t="shared" si="6"/>
        <v>32</v>
      </c>
      <c r="Q49" s="86" t="str">
        <f t="shared" si="7"/>
        <v>31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31</v>
      </c>
      <c r="D50" s="91" t="str">
        <f t="shared" si="1"/>
        <v>Vlastiti prihodi</v>
      </c>
      <c r="E50" s="96">
        <v>3237</v>
      </c>
      <c r="F50" s="91" t="str">
        <f t="shared" si="2"/>
        <v>Intelektualne i osobne usluge</v>
      </c>
      <c r="G50" s="129" t="s">
        <v>174</v>
      </c>
      <c r="H50" s="91" t="str">
        <f t="shared" si="3"/>
        <v>REDOVNA DJELATNOST SVEUČILIŠTA U RIJECI (IZ EVIDENCIJSKIH PRIHODA)</v>
      </c>
      <c r="I50" s="91" t="str">
        <f t="shared" si="4"/>
        <v>0942</v>
      </c>
      <c r="J50" s="128">
        <v>107500</v>
      </c>
      <c r="K50" s="128">
        <v>108000</v>
      </c>
      <c r="L50" s="128">
        <v>108500</v>
      </c>
      <c r="M50" s="95"/>
      <c r="O50" s="86" t="str">
        <f t="shared" si="5"/>
        <v>323</v>
      </c>
      <c r="P50" s="86" t="str">
        <f t="shared" si="6"/>
        <v>32</v>
      </c>
      <c r="Q50" s="86" t="str">
        <f t="shared" si="7"/>
        <v>31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31</v>
      </c>
      <c r="D51" s="91" t="str">
        <f t="shared" si="1"/>
        <v>Vlastiti prihodi</v>
      </c>
      <c r="E51" s="96">
        <v>3238</v>
      </c>
      <c r="F51" s="91" t="str">
        <f t="shared" si="2"/>
        <v>Računalne usluge</v>
      </c>
      <c r="G51" s="129" t="s">
        <v>174</v>
      </c>
      <c r="H51" s="91" t="str">
        <f t="shared" si="3"/>
        <v>REDOVNA DJELATNOST SVEUČILIŠTA U RIJECI (IZ EVIDENCIJSKIH PRIHODA)</v>
      </c>
      <c r="I51" s="91" t="str">
        <f t="shared" si="4"/>
        <v>0942</v>
      </c>
      <c r="J51" s="128">
        <v>4000</v>
      </c>
      <c r="K51" s="128">
        <v>4000</v>
      </c>
      <c r="L51" s="128">
        <v>5000</v>
      </c>
      <c r="M51" s="95"/>
      <c r="O51" s="86" t="str">
        <f t="shared" si="5"/>
        <v>323</v>
      </c>
      <c r="P51" s="86" t="str">
        <f t="shared" si="6"/>
        <v>32</v>
      </c>
      <c r="Q51" s="86" t="str">
        <f t="shared" si="7"/>
        <v>31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31</v>
      </c>
      <c r="D52" s="91" t="str">
        <f t="shared" si="1"/>
        <v>Vlastiti prihodi</v>
      </c>
      <c r="E52" s="96">
        <v>3293</v>
      </c>
      <c r="F52" s="91" t="str">
        <f t="shared" si="2"/>
        <v>Reprezentacija</v>
      </c>
      <c r="G52" s="129" t="s">
        <v>174</v>
      </c>
      <c r="H52" s="91" t="str">
        <f t="shared" si="3"/>
        <v>REDOVNA DJELATNOST SVEUČILIŠTA U RIJECI (IZ EVIDENCIJSKIH PRIHODA)</v>
      </c>
      <c r="I52" s="91" t="str">
        <f t="shared" si="4"/>
        <v>0942</v>
      </c>
      <c r="J52" s="128">
        <v>15000</v>
      </c>
      <c r="K52" s="128">
        <v>15000</v>
      </c>
      <c r="L52" s="128">
        <v>15000</v>
      </c>
      <c r="M52" s="95"/>
      <c r="O52" s="86" t="str">
        <f t="shared" si="5"/>
        <v>329</v>
      </c>
      <c r="P52" s="86" t="str">
        <f t="shared" si="6"/>
        <v>32</v>
      </c>
      <c r="Q52" s="86" t="str">
        <f t="shared" si="7"/>
        <v>31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31</v>
      </c>
      <c r="D53" s="91" t="str">
        <f t="shared" si="1"/>
        <v>Vlastiti prihodi</v>
      </c>
      <c r="E53" s="96">
        <v>3299</v>
      </c>
      <c r="F53" s="91" t="str">
        <f t="shared" si="2"/>
        <v>Ostali nespomenuti rashodi poslovanja</v>
      </c>
      <c r="G53" s="129" t="s">
        <v>174</v>
      </c>
      <c r="H53" s="91" t="str">
        <f t="shared" si="3"/>
        <v>REDOVNA DJELATNOST SVEUČILIŠTA U RIJECI (IZ EVIDENCIJSKIH PRIHODA)</v>
      </c>
      <c r="I53" s="91" t="str">
        <f t="shared" si="4"/>
        <v>0942</v>
      </c>
      <c r="J53" s="128">
        <v>2000</v>
      </c>
      <c r="K53" s="128">
        <v>3000</v>
      </c>
      <c r="L53" s="128">
        <v>4000</v>
      </c>
      <c r="M53" s="95"/>
      <c r="O53" s="86" t="str">
        <f t="shared" si="5"/>
        <v>329</v>
      </c>
      <c r="P53" s="86" t="str">
        <f t="shared" si="6"/>
        <v>32</v>
      </c>
      <c r="Q53" s="86" t="str">
        <f t="shared" si="7"/>
        <v>31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31</v>
      </c>
      <c r="D54" s="91" t="str">
        <f t="shared" si="1"/>
        <v>Vlastiti prihodi</v>
      </c>
      <c r="E54" s="96">
        <v>3431</v>
      </c>
      <c r="F54" s="91" t="str">
        <f t="shared" si="2"/>
        <v>Bankarske usluge i usluge platnog prometa</v>
      </c>
      <c r="G54" s="129" t="s">
        <v>174</v>
      </c>
      <c r="H54" s="91" t="str">
        <f t="shared" si="3"/>
        <v>REDOVNA DJELATNOST SVEUČILIŠTA U RIJECI (IZ EVIDENCIJSKIH PRIHODA)</v>
      </c>
      <c r="I54" s="91" t="str">
        <f t="shared" si="4"/>
        <v>0942</v>
      </c>
      <c r="J54" s="128">
        <v>100</v>
      </c>
      <c r="K54" s="128">
        <v>150</v>
      </c>
      <c r="L54" s="128">
        <v>200</v>
      </c>
      <c r="M54" s="95"/>
      <c r="O54" s="86" t="str">
        <f t="shared" si="5"/>
        <v>343</v>
      </c>
      <c r="P54" s="86" t="str">
        <f t="shared" si="6"/>
        <v>34</v>
      </c>
      <c r="Q54" s="86" t="str">
        <f t="shared" si="7"/>
        <v>31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31</v>
      </c>
      <c r="D55" s="91" t="str">
        <f t="shared" si="1"/>
        <v>Vlastiti prihodi</v>
      </c>
      <c r="E55" s="96">
        <v>3691</v>
      </c>
      <c r="F55" s="91" t="str">
        <f t="shared" si="2"/>
        <v>Tekući prijenosi između proračunskih korisnika istog proraču</v>
      </c>
      <c r="G55" s="129" t="s">
        <v>174</v>
      </c>
      <c r="H55" s="91" t="str">
        <f t="shared" si="3"/>
        <v>REDOVNA DJELATNOST SVEUČILIŠTA U RIJECI (IZ EVIDENCIJSKIH PRIHODA)</v>
      </c>
      <c r="I55" s="91" t="str">
        <f t="shared" si="4"/>
        <v>0942</v>
      </c>
      <c r="J55" s="128">
        <v>7900</v>
      </c>
      <c r="K55" s="128">
        <v>8000</v>
      </c>
      <c r="L55" s="128">
        <v>8500</v>
      </c>
      <c r="M55" s="95" t="s">
        <v>5293</v>
      </c>
      <c r="O55" s="86" t="str">
        <f t="shared" si="5"/>
        <v>369</v>
      </c>
      <c r="P55" s="86" t="str">
        <f t="shared" si="6"/>
        <v>36</v>
      </c>
      <c r="Q55" s="86" t="str">
        <f t="shared" si="7"/>
        <v>31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31</v>
      </c>
      <c r="D56" s="91" t="str">
        <f t="shared" si="1"/>
        <v>Vlastiti prihodi</v>
      </c>
      <c r="E56" s="96">
        <v>4221</v>
      </c>
      <c r="F56" s="91" t="str">
        <f t="shared" si="2"/>
        <v>Uredska oprema i namještaj</v>
      </c>
      <c r="G56" s="129" t="s">
        <v>174</v>
      </c>
      <c r="H56" s="91" t="str">
        <f t="shared" si="3"/>
        <v>REDOVNA DJELATNOST SVEUČILIŠTA U RIJECI (IZ EVIDENCIJSKIH PRIHODA)</v>
      </c>
      <c r="I56" s="91" t="str">
        <f t="shared" si="4"/>
        <v>0942</v>
      </c>
      <c r="J56" s="128">
        <v>1500</v>
      </c>
      <c r="K56" s="128">
        <v>1500</v>
      </c>
      <c r="L56" s="128">
        <v>1500</v>
      </c>
      <c r="M56" s="95"/>
      <c r="O56" s="86" t="str">
        <f t="shared" si="5"/>
        <v>422</v>
      </c>
      <c r="P56" s="86" t="str">
        <f t="shared" si="6"/>
        <v>42</v>
      </c>
      <c r="Q56" s="86" t="str">
        <f t="shared" si="7"/>
        <v>31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96">
        <v>3111</v>
      </c>
      <c r="F57" s="91" t="str">
        <f t="shared" si="2"/>
        <v>Plaće za redovan rad</v>
      </c>
      <c r="G57" s="129" t="s">
        <v>174</v>
      </c>
      <c r="H57" s="91" t="str">
        <f t="shared" si="3"/>
        <v>REDOVNA DJELATNOST SVEUČILIŠTA U RIJECI (IZ EVIDENCIJSKIH PRIHODA)</v>
      </c>
      <c r="I57" s="91" t="str">
        <f t="shared" si="4"/>
        <v>0942</v>
      </c>
      <c r="J57" s="128">
        <v>430000</v>
      </c>
      <c r="K57" s="128">
        <v>435000</v>
      </c>
      <c r="L57" s="128">
        <v>470000</v>
      </c>
      <c r="M57" s="95"/>
      <c r="O57" s="86" t="str">
        <f t="shared" si="5"/>
        <v>311</v>
      </c>
      <c r="P57" s="86" t="str">
        <f t="shared" si="6"/>
        <v>31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96">
        <v>3121</v>
      </c>
      <c r="F58" s="91" t="str">
        <f t="shared" si="2"/>
        <v>Ostali rashodi za zaposlene</v>
      </c>
      <c r="G58" s="129" t="s">
        <v>174</v>
      </c>
      <c r="H58" s="91" t="str">
        <f t="shared" si="3"/>
        <v>REDOVNA DJELATNOST SVEUČILIŠTA U RIJECI (IZ EVIDENCIJSKIH PRIHODA)</v>
      </c>
      <c r="I58" s="91" t="str">
        <f t="shared" si="4"/>
        <v>0942</v>
      </c>
      <c r="J58" s="128">
        <v>160000</v>
      </c>
      <c r="K58" s="128">
        <v>160000</v>
      </c>
      <c r="L58" s="128">
        <v>180000</v>
      </c>
      <c r="M58" s="95"/>
      <c r="O58" s="86" t="str">
        <f t="shared" si="5"/>
        <v>312</v>
      </c>
      <c r="P58" s="86" t="str">
        <f t="shared" si="6"/>
        <v>31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96">
        <v>3132</v>
      </c>
      <c r="F59" s="91" t="str">
        <f t="shared" si="2"/>
        <v>Doprinosi za obvezno zdravstveno osiguranje</v>
      </c>
      <c r="G59" s="129" t="s">
        <v>174</v>
      </c>
      <c r="H59" s="91" t="str">
        <f t="shared" si="3"/>
        <v>REDOVNA DJELATNOST SVEUČILIŠTA U RIJECI (IZ EVIDENCIJSKIH PRIHODA)</v>
      </c>
      <c r="I59" s="91" t="str">
        <f t="shared" si="4"/>
        <v>0942</v>
      </c>
      <c r="J59" s="128">
        <v>70950</v>
      </c>
      <c r="K59" s="128">
        <f>+K57*0.165</f>
        <v>71775</v>
      </c>
      <c r="L59" s="128">
        <f>+L57*0.165</f>
        <v>77550</v>
      </c>
      <c r="M59" s="95"/>
      <c r="O59" s="86" t="str">
        <f t="shared" si="5"/>
        <v>313</v>
      </c>
      <c r="P59" s="86" t="str">
        <f t="shared" si="6"/>
        <v>31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96">
        <v>3211</v>
      </c>
      <c r="F60" s="91" t="str">
        <f t="shared" si="2"/>
        <v>Službena putovanja</v>
      </c>
      <c r="G60" s="129" t="s">
        <v>174</v>
      </c>
      <c r="H60" s="91" t="str">
        <f t="shared" si="3"/>
        <v>REDOVNA DJELATNOST SVEUČILIŠTA U RIJECI (IZ EVIDENCIJSKIH PRIHODA)</v>
      </c>
      <c r="I60" s="91" t="str">
        <f t="shared" si="4"/>
        <v>0942</v>
      </c>
      <c r="J60" s="128">
        <v>69000</v>
      </c>
      <c r="K60" s="128">
        <v>69000</v>
      </c>
      <c r="L60" s="128">
        <v>70000</v>
      </c>
      <c r="M60" s="95"/>
      <c r="O60" s="86" t="str">
        <f t="shared" si="5"/>
        <v>321</v>
      </c>
      <c r="P60" s="86" t="str">
        <f t="shared" si="6"/>
        <v>32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96">
        <v>3212</v>
      </c>
      <c r="F61" s="91" t="str">
        <f t="shared" si="2"/>
        <v>Naknade za prijevoz, za rad na terenu i odvojeni život</v>
      </c>
      <c r="G61" s="129" t="s">
        <v>174</v>
      </c>
      <c r="H61" s="91" t="str">
        <f t="shared" si="3"/>
        <v>REDOVNA DJELATNOST SVEUČILIŠTA U RIJECI (IZ EVIDENCIJSKIH PRIHODA)</v>
      </c>
      <c r="I61" s="91" t="str">
        <f t="shared" si="4"/>
        <v>0942</v>
      </c>
      <c r="J61" s="128">
        <v>6000</v>
      </c>
      <c r="K61" s="128">
        <v>6500</v>
      </c>
      <c r="L61" s="128">
        <v>7000</v>
      </c>
      <c r="M61" s="95"/>
      <c r="O61" s="86" t="str">
        <f t="shared" si="5"/>
        <v>321</v>
      </c>
      <c r="P61" s="86" t="str">
        <f t="shared" si="6"/>
        <v>32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96">
        <v>3213</v>
      </c>
      <c r="F62" s="91" t="str">
        <f t="shared" si="2"/>
        <v>Stručno usavršavanje zaposlenika</v>
      </c>
      <c r="G62" s="129" t="s">
        <v>174</v>
      </c>
      <c r="H62" s="91" t="str">
        <f t="shared" si="3"/>
        <v>REDOVNA DJELATNOST SVEUČILIŠTA U RIJECI (IZ EVIDENCIJSKIH PRIHODA)</v>
      </c>
      <c r="I62" s="91" t="str">
        <f t="shared" si="4"/>
        <v>0942</v>
      </c>
      <c r="J62" s="128">
        <v>5000</v>
      </c>
      <c r="K62" s="128">
        <v>5000</v>
      </c>
      <c r="L62" s="128">
        <v>7000</v>
      </c>
      <c r="M62" s="95"/>
      <c r="O62" s="86" t="str">
        <f t="shared" si="5"/>
        <v>321</v>
      </c>
      <c r="P62" s="86" t="str">
        <f t="shared" si="6"/>
        <v>32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96">
        <v>3214</v>
      </c>
      <c r="F63" s="91" t="str">
        <f t="shared" si="2"/>
        <v>Ostale naknade troškova zaposlenima</v>
      </c>
      <c r="G63" s="129" t="s">
        <v>174</v>
      </c>
      <c r="H63" s="91" t="str">
        <f t="shared" si="3"/>
        <v>REDOVNA DJELATNOST SVEUČILIŠTA U RIJECI (IZ EVIDENCIJSKIH PRIHODA)</v>
      </c>
      <c r="I63" s="91" t="str">
        <f t="shared" si="4"/>
        <v>0942</v>
      </c>
      <c r="J63" s="128">
        <v>500</v>
      </c>
      <c r="K63" s="128">
        <v>1000</v>
      </c>
      <c r="L63" s="128">
        <v>1500</v>
      </c>
      <c r="M63" s="95"/>
      <c r="O63" s="86" t="str">
        <f t="shared" si="5"/>
        <v>321</v>
      </c>
      <c r="P63" s="86" t="str">
        <f t="shared" si="6"/>
        <v>32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43</v>
      </c>
      <c r="D64" s="91" t="str">
        <f t="shared" si="1"/>
        <v>Ostali prihodi za posebne namjene</v>
      </c>
      <c r="E64" s="96">
        <v>3221</v>
      </c>
      <c r="F64" s="91" t="str">
        <f t="shared" si="2"/>
        <v>Uredski materijal i ostali materijalni rashodi</v>
      </c>
      <c r="G64" s="129" t="s">
        <v>174</v>
      </c>
      <c r="H64" s="91" t="str">
        <f t="shared" si="3"/>
        <v>REDOVNA DJELATNOST SVEUČILIŠTA U RIJECI (IZ EVIDENCIJSKIH PRIHODA)</v>
      </c>
      <c r="I64" s="91" t="str">
        <f t="shared" si="4"/>
        <v>0942</v>
      </c>
      <c r="J64" s="128">
        <v>15660</v>
      </c>
      <c r="K64" s="128">
        <v>16000</v>
      </c>
      <c r="L64" s="128">
        <v>16000</v>
      </c>
      <c r="M64" s="95"/>
      <c r="O64" s="86" t="str">
        <f t="shared" si="5"/>
        <v>322</v>
      </c>
      <c r="P64" s="86" t="str">
        <f t="shared" si="6"/>
        <v>32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96">
        <v>3222</v>
      </c>
      <c r="F65" s="91" t="str">
        <f t="shared" si="2"/>
        <v>Materijal i sirovine</v>
      </c>
      <c r="G65" s="129" t="s">
        <v>174</v>
      </c>
      <c r="H65" s="91" t="str">
        <f t="shared" si="3"/>
        <v>REDOVNA DJELATNOST SVEUČILIŠTA U RIJECI (IZ EVIDENCIJSKIH PRIHODA)</v>
      </c>
      <c r="I65" s="91" t="str">
        <f t="shared" si="4"/>
        <v>0942</v>
      </c>
      <c r="J65" s="128">
        <v>9500</v>
      </c>
      <c r="K65" s="128">
        <v>10000</v>
      </c>
      <c r="L65" s="128">
        <v>11000</v>
      </c>
      <c r="M65" s="95"/>
      <c r="O65" s="86" t="str">
        <f t="shared" si="5"/>
        <v>322</v>
      </c>
      <c r="P65" s="86" t="str">
        <f t="shared" si="6"/>
        <v>32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96">
        <v>3223</v>
      </c>
      <c r="F66" s="91" t="str">
        <f t="shared" si="2"/>
        <v>Energija</v>
      </c>
      <c r="G66" s="129" t="s">
        <v>174</v>
      </c>
      <c r="H66" s="91" t="str">
        <f t="shared" si="3"/>
        <v>REDOVNA DJELATNOST SVEUČILIŠTA U RIJECI (IZ EVIDENCIJSKIH PRIHODA)</v>
      </c>
      <c r="I66" s="91" t="str">
        <f t="shared" si="4"/>
        <v>0942</v>
      </c>
      <c r="J66" s="128">
        <v>6000</v>
      </c>
      <c r="K66" s="128">
        <v>6000</v>
      </c>
      <c r="L66" s="128">
        <v>8000</v>
      </c>
      <c r="M66" s="95"/>
      <c r="O66" s="86" t="str">
        <f t="shared" si="5"/>
        <v>322</v>
      </c>
      <c r="P66" s="86" t="str">
        <f t="shared" si="6"/>
        <v>32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3224</v>
      </c>
      <c r="F67" s="91" t="str">
        <f t="shared" si="2"/>
        <v>Materijal i dijelovi za tekuće i investicijsko održavanje</v>
      </c>
      <c r="G67" s="129" t="s">
        <v>174</v>
      </c>
      <c r="H67" s="91" t="str">
        <f t="shared" si="3"/>
        <v>REDOVNA DJELATNOST SVEUČILIŠTA U RIJECI (IZ EVIDENCIJSKIH PRIHODA)</v>
      </c>
      <c r="I67" s="91" t="str">
        <f t="shared" si="4"/>
        <v>0942</v>
      </c>
      <c r="J67" s="128">
        <v>5000</v>
      </c>
      <c r="K67" s="128">
        <v>5000</v>
      </c>
      <c r="L67" s="128">
        <v>7000</v>
      </c>
      <c r="M67" s="95"/>
      <c r="O67" s="86" t="str">
        <f t="shared" si="5"/>
        <v>322</v>
      </c>
      <c r="P67" s="86" t="str">
        <f t="shared" si="6"/>
        <v>32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96">
        <v>3225</v>
      </c>
      <c r="F68" s="91" t="str">
        <f t="shared" ref="F68:F131" si="14">IFERROR(VLOOKUP(E68,$V$5:$X$129,2,FALSE),"")</f>
        <v>Sitni inventar i auto gume</v>
      </c>
      <c r="G68" s="129" t="s">
        <v>174</v>
      </c>
      <c r="H68" s="91" t="str">
        <f t="shared" ref="H68:H131" si="15">IFERROR(VLOOKUP(G68,$AB$6:$AC$327,2,FALSE),"")</f>
        <v>REDOVNA DJELATNOST SVEUČILIŠTA U RIJECI (IZ EVIDENCIJSKIH PRIHODA)</v>
      </c>
      <c r="I68" s="91" t="str">
        <f t="shared" ref="I68:I131" si="16">IFERROR(VLOOKUP(G68,$AB$6:$AF$327,3,FALSE),"")</f>
        <v>0942</v>
      </c>
      <c r="J68" s="128">
        <v>2000</v>
      </c>
      <c r="K68" s="128">
        <v>2100</v>
      </c>
      <c r="L68" s="128">
        <v>2200</v>
      </c>
      <c r="M68" s="95"/>
      <c r="O68" s="86" t="str">
        <f t="shared" ref="O68:O131" si="17">LEFT(E68,3)</f>
        <v>322</v>
      </c>
      <c r="P68" s="86" t="str">
        <f t="shared" ref="P68:P131" si="18">LEFT(E68,2)</f>
        <v>32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43</v>
      </c>
      <c r="D69" s="91" t="str">
        <f t="shared" si="13"/>
        <v>Ostali prihodi za posebne namjene</v>
      </c>
      <c r="E69" s="96">
        <v>3227</v>
      </c>
      <c r="F69" s="91" t="str">
        <f t="shared" si="14"/>
        <v>Službena, radna i zaštitna odjeća i obuća</v>
      </c>
      <c r="G69" s="129" t="s">
        <v>174</v>
      </c>
      <c r="H69" s="91" t="str">
        <f t="shared" si="15"/>
        <v>REDOVNA DJELATNOST SVEUČILIŠTA U RIJECI (IZ EVIDENCIJSKIH PRIHODA)</v>
      </c>
      <c r="I69" s="91" t="str">
        <f t="shared" si="16"/>
        <v>0942</v>
      </c>
      <c r="J69" s="128">
        <v>500</v>
      </c>
      <c r="K69" s="128">
        <v>500</v>
      </c>
      <c r="L69" s="128">
        <v>500</v>
      </c>
      <c r="M69" s="95"/>
      <c r="O69" s="86" t="str">
        <f t="shared" si="17"/>
        <v>322</v>
      </c>
      <c r="P69" s="86" t="str">
        <f t="shared" si="18"/>
        <v>32</v>
      </c>
      <c r="Q69" s="86" t="str">
        <f t="shared" si="19"/>
        <v>43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43</v>
      </c>
      <c r="D70" s="91" t="str">
        <f t="shared" si="13"/>
        <v>Ostali prihodi za posebne namjene</v>
      </c>
      <c r="E70" s="96">
        <v>3231</v>
      </c>
      <c r="F70" s="91" t="str">
        <f t="shared" si="14"/>
        <v>Usluge telefona, pošte i prijevoza</v>
      </c>
      <c r="G70" s="129" t="s">
        <v>174</v>
      </c>
      <c r="H70" s="91" t="str">
        <f t="shared" si="15"/>
        <v>REDOVNA DJELATNOST SVEUČILIŠTA U RIJECI (IZ EVIDENCIJSKIH PRIHODA)</v>
      </c>
      <c r="I70" s="91" t="str">
        <f t="shared" si="16"/>
        <v>0942</v>
      </c>
      <c r="J70" s="128">
        <v>7300</v>
      </c>
      <c r="K70" s="128">
        <v>7500</v>
      </c>
      <c r="L70" s="128">
        <v>8700</v>
      </c>
      <c r="M70" s="95"/>
      <c r="O70" s="86" t="str">
        <f t="shared" si="17"/>
        <v>323</v>
      </c>
      <c r="P70" s="86" t="str">
        <f t="shared" si="18"/>
        <v>32</v>
      </c>
      <c r="Q70" s="86" t="str">
        <f t="shared" si="19"/>
        <v>43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43</v>
      </c>
      <c r="D71" s="91" t="str">
        <f t="shared" si="13"/>
        <v>Ostali prihodi za posebne namjene</v>
      </c>
      <c r="E71" s="96">
        <v>3232</v>
      </c>
      <c r="F71" s="91" t="str">
        <f t="shared" si="14"/>
        <v>Usluge tekućeg i investicijskog održavanja</v>
      </c>
      <c r="G71" s="129" t="s">
        <v>174</v>
      </c>
      <c r="H71" s="91" t="str">
        <f t="shared" si="15"/>
        <v>REDOVNA DJELATNOST SVEUČILIŠTA U RIJECI (IZ EVIDENCIJSKIH PRIHODA)</v>
      </c>
      <c r="I71" s="91" t="str">
        <f t="shared" si="16"/>
        <v>0942</v>
      </c>
      <c r="J71" s="128">
        <v>45000</v>
      </c>
      <c r="K71" s="128">
        <v>30000</v>
      </c>
      <c r="L71" s="128">
        <v>45000</v>
      </c>
      <c r="M71" s="95"/>
      <c r="O71" s="86" t="str">
        <f t="shared" si="17"/>
        <v>323</v>
      </c>
      <c r="P71" s="86" t="str">
        <f t="shared" si="18"/>
        <v>32</v>
      </c>
      <c r="Q71" s="86" t="str">
        <f t="shared" si="19"/>
        <v>43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43</v>
      </c>
      <c r="D72" s="91" t="str">
        <f t="shared" si="13"/>
        <v>Ostali prihodi za posebne namjene</v>
      </c>
      <c r="E72" s="96">
        <v>3233</v>
      </c>
      <c r="F72" s="91" t="str">
        <f t="shared" si="14"/>
        <v>Usluge promidžbe i informiranja</v>
      </c>
      <c r="G72" s="129" t="s">
        <v>174</v>
      </c>
      <c r="H72" s="91" t="str">
        <f t="shared" si="15"/>
        <v>REDOVNA DJELATNOST SVEUČILIŠTA U RIJECI (IZ EVIDENCIJSKIH PRIHODA)</v>
      </c>
      <c r="I72" s="91" t="str">
        <f t="shared" si="16"/>
        <v>0942</v>
      </c>
      <c r="J72" s="128">
        <v>11280</v>
      </c>
      <c r="K72" s="128">
        <v>12000</v>
      </c>
      <c r="L72" s="128">
        <v>13000</v>
      </c>
      <c r="M72" s="95"/>
      <c r="O72" s="86" t="str">
        <f t="shared" si="17"/>
        <v>323</v>
      </c>
      <c r="P72" s="86" t="str">
        <f t="shared" si="18"/>
        <v>32</v>
      </c>
      <c r="Q72" s="86" t="str">
        <f t="shared" si="19"/>
        <v>43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43</v>
      </c>
      <c r="D73" s="91" t="str">
        <f t="shared" si="13"/>
        <v>Ostali prihodi za posebne namjene</v>
      </c>
      <c r="E73" s="96">
        <v>3234</v>
      </c>
      <c r="F73" s="91" t="str">
        <f t="shared" si="14"/>
        <v>Komunalne usluge</v>
      </c>
      <c r="G73" s="129" t="s">
        <v>174</v>
      </c>
      <c r="H73" s="91" t="str">
        <f t="shared" si="15"/>
        <v>REDOVNA DJELATNOST SVEUČILIŠTA U RIJECI (IZ EVIDENCIJSKIH PRIHODA)</v>
      </c>
      <c r="I73" s="91" t="str">
        <f t="shared" si="16"/>
        <v>0942</v>
      </c>
      <c r="J73" s="128">
        <v>1330</v>
      </c>
      <c r="K73" s="128">
        <v>1500</v>
      </c>
      <c r="L73" s="128">
        <v>1700</v>
      </c>
      <c r="M73" s="95"/>
      <c r="O73" s="86" t="str">
        <f t="shared" si="17"/>
        <v>323</v>
      </c>
      <c r="P73" s="86" t="str">
        <f t="shared" si="18"/>
        <v>32</v>
      </c>
      <c r="Q73" s="86" t="str">
        <f t="shared" si="19"/>
        <v>43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43</v>
      </c>
      <c r="D74" s="91" t="str">
        <f t="shared" si="13"/>
        <v>Ostali prihodi za posebne namjene</v>
      </c>
      <c r="E74" s="96">
        <v>3237</v>
      </c>
      <c r="F74" s="91" t="str">
        <f t="shared" si="14"/>
        <v>Intelektualne i osobne usluge</v>
      </c>
      <c r="G74" s="129" t="s">
        <v>174</v>
      </c>
      <c r="H74" s="91" t="str">
        <f t="shared" si="15"/>
        <v>REDOVNA DJELATNOST SVEUČILIŠTA U RIJECI (IZ EVIDENCIJSKIH PRIHODA)</v>
      </c>
      <c r="I74" s="91" t="str">
        <f t="shared" si="16"/>
        <v>0942</v>
      </c>
      <c r="J74" s="128">
        <v>55000</v>
      </c>
      <c r="K74" s="128">
        <v>55000</v>
      </c>
      <c r="L74" s="128">
        <v>55000</v>
      </c>
      <c r="M74" s="95"/>
      <c r="O74" s="86" t="str">
        <f t="shared" si="17"/>
        <v>323</v>
      </c>
      <c r="P74" s="86" t="str">
        <f t="shared" si="18"/>
        <v>32</v>
      </c>
      <c r="Q74" s="86" t="str">
        <f t="shared" si="19"/>
        <v>43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43</v>
      </c>
      <c r="D75" s="91" t="str">
        <f t="shared" si="13"/>
        <v>Ostali prihodi za posebne namjene</v>
      </c>
      <c r="E75" s="96">
        <v>3238</v>
      </c>
      <c r="F75" s="91" t="str">
        <f t="shared" si="14"/>
        <v>Računalne usluge</v>
      </c>
      <c r="G75" s="129" t="s">
        <v>174</v>
      </c>
      <c r="H75" s="91" t="str">
        <f t="shared" si="15"/>
        <v>REDOVNA DJELATNOST SVEUČILIŠTA U RIJECI (IZ EVIDENCIJSKIH PRIHODA)</v>
      </c>
      <c r="I75" s="91" t="str">
        <f t="shared" si="16"/>
        <v>0942</v>
      </c>
      <c r="J75" s="128">
        <v>20000</v>
      </c>
      <c r="K75" s="128">
        <v>20000</v>
      </c>
      <c r="L75" s="128">
        <v>15000</v>
      </c>
      <c r="M75" s="95"/>
      <c r="O75" s="86" t="str">
        <f t="shared" si="17"/>
        <v>323</v>
      </c>
      <c r="P75" s="86" t="str">
        <f t="shared" si="18"/>
        <v>32</v>
      </c>
      <c r="Q75" s="86" t="str">
        <f t="shared" si="19"/>
        <v>43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43</v>
      </c>
      <c r="D76" s="91" t="str">
        <f t="shared" si="13"/>
        <v>Ostali prihodi za posebne namjene</v>
      </c>
      <c r="E76" s="96">
        <v>3239</v>
      </c>
      <c r="F76" s="91" t="str">
        <f t="shared" si="14"/>
        <v>Ostale usluge</v>
      </c>
      <c r="G76" s="129" t="s">
        <v>174</v>
      </c>
      <c r="H76" s="91" t="str">
        <f t="shared" si="15"/>
        <v>REDOVNA DJELATNOST SVEUČILIŠTA U RIJECI (IZ EVIDENCIJSKIH PRIHODA)</v>
      </c>
      <c r="I76" s="91" t="str">
        <f t="shared" si="16"/>
        <v>0942</v>
      </c>
      <c r="J76" s="128">
        <v>18710</v>
      </c>
      <c r="K76" s="128">
        <v>19000</v>
      </c>
      <c r="L76" s="128">
        <v>15000</v>
      </c>
      <c r="M76" s="95"/>
      <c r="O76" s="86" t="str">
        <f t="shared" si="17"/>
        <v>323</v>
      </c>
      <c r="P76" s="86" t="str">
        <f t="shared" si="18"/>
        <v>32</v>
      </c>
      <c r="Q76" s="86" t="str">
        <f t="shared" si="19"/>
        <v>43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43</v>
      </c>
      <c r="D77" s="91" t="str">
        <f t="shared" si="13"/>
        <v>Ostali prihodi za posebne namjene</v>
      </c>
      <c r="E77" s="96">
        <v>3292</v>
      </c>
      <c r="F77" s="91" t="str">
        <f t="shared" si="14"/>
        <v>Premije osiguranja</v>
      </c>
      <c r="G77" s="129" t="s">
        <v>174</v>
      </c>
      <c r="H77" s="91" t="str">
        <f t="shared" si="15"/>
        <v>REDOVNA DJELATNOST SVEUČILIŠTA U RIJECI (IZ EVIDENCIJSKIH PRIHODA)</v>
      </c>
      <c r="I77" s="91" t="str">
        <f t="shared" si="16"/>
        <v>0942</v>
      </c>
      <c r="J77" s="128">
        <v>4500</v>
      </c>
      <c r="K77" s="128">
        <v>4500</v>
      </c>
      <c r="L77" s="128">
        <v>5000</v>
      </c>
      <c r="M77" s="95"/>
      <c r="O77" s="86" t="str">
        <f t="shared" si="17"/>
        <v>329</v>
      </c>
      <c r="P77" s="86" t="str">
        <f t="shared" si="18"/>
        <v>32</v>
      </c>
      <c r="Q77" s="86" t="str">
        <f t="shared" si="19"/>
        <v>43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43</v>
      </c>
      <c r="D78" s="91" t="str">
        <f t="shared" si="13"/>
        <v>Ostali prihodi za posebne namjene</v>
      </c>
      <c r="E78" s="96">
        <v>3293</v>
      </c>
      <c r="F78" s="91" t="str">
        <f t="shared" si="14"/>
        <v>Reprezentacija</v>
      </c>
      <c r="G78" s="129" t="s">
        <v>174</v>
      </c>
      <c r="H78" s="91" t="str">
        <f t="shared" si="15"/>
        <v>REDOVNA DJELATNOST SVEUČILIŠTA U RIJECI (IZ EVIDENCIJSKIH PRIHODA)</v>
      </c>
      <c r="I78" s="91" t="str">
        <f t="shared" si="16"/>
        <v>0942</v>
      </c>
      <c r="J78" s="128">
        <v>2655</v>
      </c>
      <c r="K78" s="128">
        <v>3000</v>
      </c>
      <c r="L78" s="128">
        <v>3300</v>
      </c>
      <c r="M78" s="95"/>
      <c r="O78" s="86" t="str">
        <f t="shared" si="17"/>
        <v>329</v>
      </c>
      <c r="P78" s="86" t="str">
        <f t="shared" si="18"/>
        <v>32</v>
      </c>
      <c r="Q78" s="86" t="str">
        <f t="shared" si="19"/>
        <v>43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43</v>
      </c>
      <c r="D79" s="91" t="str">
        <f t="shared" si="13"/>
        <v>Ostali prihodi za posebne namjene</v>
      </c>
      <c r="E79" s="96">
        <v>3294</v>
      </c>
      <c r="F79" s="91" t="str">
        <f t="shared" si="14"/>
        <v>Članarine i norme</v>
      </c>
      <c r="G79" s="129" t="s">
        <v>174</v>
      </c>
      <c r="H79" s="91" t="str">
        <f t="shared" si="15"/>
        <v>REDOVNA DJELATNOST SVEUČILIŠTA U RIJECI (IZ EVIDENCIJSKIH PRIHODA)</v>
      </c>
      <c r="I79" s="91" t="str">
        <f t="shared" si="16"/>
        <v>0942</v>
      </c>
      <c r="J79" s="128">
        <f>2654+1327</f>
        <v>3981</v>
      </c>
      <c r="K79" s="128">
        <v>4000</v>
      </c>
      <c r="L79" s="128">
        <v>4030</v>
      </c>
      <c r="M79" s="95"/>
      <c r="O79" s="86" t="str">
        <f t="shared" si="17"/>
        <v>329</v>
      </c>
      <c r="P79" s="86" t="str">
        <f t="shared" si="18"/>
        <v>32</v>
      </c>
      <c r="Q79" s="86" t="str">
        <f t="shared" si="19"/>
        <v>43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43</v>
      </c>
      <c r="D80" s="91" t="str">
        <f t="shared" si="13"/>
        <v>Ostali prihodi za posebne namjene</v>
      </c>
      <c r="E80" s="96">
        <v>3295</v>
      </c>
      <c r="F80" s="91" t="str">
        <f t="shared" si="14"/>
        <v>Pristojbe i naknade</v>
      </c>
      <c r="G80" s="129" t="s">
        <v>174</v>
      </c>
      <c r="H80" s="91" t="str">
        <f t="shared" si="15"/>
        <v>REDOVNA DJELATNOST SVEUČILIŠTA U RIJECI (IZ EVIDENCIJSKIH PRIHODA)</v>
      </c>
      <c r="I80" s="91" t="str">
        <f t="shared" si="16"/>
        <v>0942</v>
      </c>
      <c r="J80" s="128">
        <v>200</v>
      </c>
      <c r="K80" s="128">
        <v>250</v>
      </c>
      <c r="L80" s="128">
        <v>300</v>
      </c>
      <c r="M80" s="95"/>
      <c r="O80" s="86" t="str">
        <f t="shared" si="17"/>
        <v>329</v>
      </c>
      <c r="P80" s="86" t="str">
        <f t="shared" si="18"/>
        <v>32</v>
      </c>
      <c r="Q80" s="86" t="str">
        <f t="shared" si="19"/>
        <v>43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43</v>
      </c>
      <c r="D81" s="91" t="str">
        <f t="shared" si="13"/>
        <v>Ostali prihodi za posebne namjene</v>
      </c>
      <c r="E81" s="96">
        <v>3299</v>
      </c>
      <c r="F81" s="91" t="str">
        <f t="shared" si="14"/>
        <v>Ostali nespomenuti rashodi poslovanja</v>
      </c>
      <c r="G81" s="129" t="s">
        <v>174</v>
      </c>
      <c r="H81" s="91" t="str">
        <f t="shared" si="15"/>
        <v>REDOVNA DJELATNOST SVEUČILIŠTA U RIJECI (IZ EVIDENCIJSKIH PRIHODA)</v>
      </c>
      <c r="I81" s="91" t="str">
        <f t="shared" si="16"/>
        <v>0942</v>
      </c>
      <c r="J81" s="128">
        <v>10000</v>
      </c>
      <c r="K81" s="128">
        <v>11000</v>
      </c>
      <c r="L81" s="128">
        <v>11000</v>
      </c>
      <c r="M81" s="95"/>
      <c r="O81" s="86" t="str">
        <f t="shared" si="17"/>
        <v>329</v>
      </c>
      <c r="P81" s="86" t="str">
        <f t="shared" si="18"/>
        <v>32</v>
      </c>
      <c r="Q81" s="86" t="str">
        <f t="shared" si="19"/>
        <v>43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43</v>
      </c>
      <c r="D82" s="91" t="str">
        <f t="shared" si="13"/>
        <v>Ostali prihodi za posebne namjene</v>
      </c>
      <c r="E82" s="96">
        <v>3431</v>
      </c>
      <c r="F82" s="91" t="str">
        <f t="shared" si="14"/>
        <v>Bankarske usluge i usluge platnog prometa</v>
      </c>
      <c r="G82" s="129" t="s">
        <v>174</v>
      </c>
      <c r="H82" s="91" t="str">
        <f t="shared" si="15"/>
        <v>REDOVNA DJELATNOST SVEUČILIŠTA U RIJECI (IZ EVIDENCIJSKIH PRIHODA)</v>
      </c>
      <c r="I82" s="91" t="str">
        <f t="shared" si="16"/>
        <v>0942</v>
      </c>
      <c r="J82" s="128">
        <v>1326</v>
      </c>
      <c r="K82" s="128">
        <v>1430</v>
      </c>
      <c r="L82" s="128">
        <v>1530</v>
      </c>
      <c r="M82" s="95"/>
      <c r="O82" s="86" t="str">
        <f t="shared" si="17"/>
        <v>343</v>
      </c>
      <c r="P82" s="86" t="str">
        <f t="shared" si="18"/>
        <v>34</v>
      </c>
      <c r="Q82" s="86" t="str">
        <f t="shared" si="19"/>
        <v>43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43</v>
      </c>
      <c r="D83" s="91" t="str">
        <f t="shared" si="13"/>
        <v>Ostali prihodi za posebne namjene</v>
      </c>
      <c r="E83" s="96">
        <v>3691</v>
      </c>
      <c r="F83" s="91" t="str">
        <f t="shared" si="14"/>
        <v>Tekući prijenosi između proračunskih korisnika istog proraču</v>
      </c>
      <c r="G83" s="129" t="s">
        <v>174</v>
      </c>
      <c r="H83" s="91" t="str">
        <f t="shared" si="15"/>
        <v>REDOVNA DJELATNOST SVEUČILIŠTA U RIJECI (IZ EVIDENCIJSKIH PRIHODA)</v>
      </c>
      <c r="I83" s="91" t="str">
        <f t="shared" si="16"/>
        <v>0942</v>
      </c>
      <c r="J83" s="128">
        <v>31000</v>
      </c>
      <c r="K83" s="128">
        <v>31500</v>
      </c>
      <c r="L83" s="128">
        <v>32000</v>
      </c>
      <c r="M83" s="95" t="s">
        <v>5293</v>
      </c>
      <c r="O83" s="86" t="str">
        <f t="shared" si="17"/>
        <v>369</v>
      </c>
      <c r="P83" s="86" t="str">
        <f t="shared" si="18"/>
        <v>36</v>
      </c>
      <c r="Q83" s="86" t="str">
        <f t="shared" si="19"/>
        <v>43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43</v>
      </c>
      <c r="D84" s="91" t="str">
        <f t="shared" si="13"/>
        <v>Ostali prihodi za posebne namjene</v>
      </c>
      <c r="E84" s="96">
        <v>3715</v>
      </c>
      <c r="F84" s="91" t="str">
        <f t="shared" si="14"/>
        <v>Naknade građanima i kućanstvima na temelju osiguranja iz EU</v>
      </c>
      <c r="G84" s="129" t="s">
        <v>174</v>
      </c>
      <c r="H84" s="91" t="str">
        <f t="shared" si="15"/>
        <v>REDOVNA DJELATNOST SVEUČILIŠTA U RIJECI (IZ EVIDENCIJSKIH PRIHODA)</v>
      </c>
      <c r="I84" s="91" t="str">
        <f t="shared" si="16"/>
        <v>0942</v>
      </c>
      <c r="J84" s="128">
        <v>2300</v>
      </c>
      <c r="K84" s="128">
        <v>2500</v>
      </c>
      <c r="L84" s="128">
        <v>2700</v>
      </c>
      <c r="M84" s="95"/>
      <c r="O84" s="86" t="str">
        <f t="shared" si="17"/>
        <v>371</v>
      </c>
      <c r="P84" s="86" t="str">
        <f t="shared" si="18"/>
        <v>37</v>
      </c>
      <c r="Q84" s="86" t="str">
        <f t="shared" si="19"/>
        <v>43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43</v>
      </c>
      <c r="D85" s="91" t="str">
        <f t="shared" si="13"/>
        <v>Ostali prihodi za posebne namjene</v>
      </c>
      <c r="E85" s="96">
        <v>3811</v>
      </c>
      <c r="F85" s="91" t="str">
        <f t="shared" si="14"/>
        <v>Tekuće donacije u novcu</v>
      </c>
      <c r="G85" s="129" t="s">
        <v>174</v>
      </c>
      <c r="H85" s="91" t="str">
        <f t="shared" si="15"/>
        <v>REDOVNA DJELATNOST SVEUČILIŠTA U RIJECI (IZ EVIDENCIJSKIH PRIHODA)</v>
      </c>
      <c r="I85" s="91" t="str">
        <f t="shared" si="16"/>
        <v>0942</v>
      </c>
      <c r="J85" s="128">
        <v>2000</v>
      </c>
      <c r="K85" s="128">
        <v>2500</v>
      </c>
      <c r="L85" s="128">
        <v>3000</v>
      </c>
      <c r="M85" s="95"/>
      <c r="O85" s="86" t="str">
        <f t="shared" si="17"/>
        <v>381</v>
      </c>
      <c r="P85" s="86" t="str">
        <f t="shared" si="18"/>
        <v>38</v>
      </c>
      <c r="Q85" s="86" t="str">
        <f t="shared" si="19"/>
        <v>43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43</v>
      </c>
      <c r="D86" s="91" t="str">
        <f t="shared" si="13"/>
        <v>Ostali prihodi za posebne namjene</v>
      </c>
      <c r="E86" s="96">
        <v>4221</v>
      </c>
      <c r="F86" s="91" t="str">
        <f t="shared" si="14"/>
        <v>Uredska oprema i namještaj</v>
      </c>
      <c r="G86" s="129" t="s">
        <v>174</v>
      </c>
      <c r="H86" s="91" t="str">
        <f t="shared" si="15"/>
        <v>REDOVNA DJELATNOST SVEUČILIŠTA U RIJECI (IZ EVIDENCIJSKIH PRIHODA)</v>
      </c>
      <c r="I86" s="91" t="str">
        <f t="shared" si="16"/>
        <v>0942</v>
      </c>
      <c r="J86" s="128">
        <v>51100</v>
      </c>
      <c r="K86" s="128">
        <v>30000</v>
      </c>
      <c r="L86" s="128">
        <v>20000</v>
      </c>
      <c r="M86" s="95"/>
      <c r="O86" s="86" t="str">
        <f t="shared" si="17"/>
        <v>422</v>
      </c>
      <c r="P86" s="86" t="str">
        <f t="shared" si="18"/>
        <v>42</v>
      </c>
      <c r="Q86" s="86" t="str">
        <f t="shared" si="19"/>
        <v>43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43</v>
      </c>
      <c r="D87" s="91" t="str">
        <f t="shared" si="13"/>
        <v>Ostali prihodi za posebne namjene</v>
      </c>
      <c r="E87" s="96">
        <v>4222</v>
      </c>
      <c r="F87" s="91" t="str">
        <f t="shared" si="14"/>
        <v>Komunikacijska oprema</v>
      </c>
      <c r="G87" s="129" t="s">
        <v>174</v>
      </c>
      <c r="H87" s="91" t="str">
        <f t="shared" si="15"/>
        <v>REDOVNA DJELATNOST SVEUČILIŠTA U RIJECI (IZ EVIDENCIJSKIH PRIHODA)</v>
      </c>
      <c r="I87" s="91" t="str">
        <f t="shared" si="16"/>
        <v>0942</v>
      </c>
      <c r="J87" s="128">
        <v>3500</v>
      </c>
      <c r="K87" s="128">
        <v>4000</v>
      </c>
      <c r="L87" s="128">
        <v>4500</v>
      </c>
      <c r="M87" s="95"/>
      <c r="O87" s="86" t="str">
        <f t="shared" si="17"/>
        <v>422</v>
      </c>
      <c r="P87" s="86" t="str">
        <f t="shared" si="18"/>
        <v>42</v>
      </c>
      <c r="Q87" s="86" t="str">
        <f t="shared" si="19"/>
        <v>43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43</v>
      </c>
      <c r="D88" s="91" t="str">
        <f t="shared" si="13"/>
        <v>Ostali prihodi za posebne namjene</v>
      </c>
      <c r="E88" s="96">
        <v>4226</v>
      </c>
      <c r="F88" s="91" t="str">
        <f t="shared" si="14"/>
        <v>Sportska i glazbena oprema</v>
      </c>
      <c r="G88" s="129" t="s">
        <v>174</v>
      </c>
      <c r="H88" s="91" t="str">
        <f t="shared" si="15"/>
        <v>REDOVNA DJELATNOST SVEUČILIŠTA U RIJECI (IZ EVIDENCIJSKIH PRIHODA)</v>
      </c>
      <c r="I88" s="91" t="str">
        <f t="shared" si="16"/>
        <v>0942</v>
      </c>
      <c r="J88" s="128">
        <v>1000</v>
      </c>
      <c r="K88" s="128">
        <v>1000</v>
      </c>
      <c r="L88" s="128">
        <v>1000</v>
      </c>
      <c r="M88" s="95"/>
      <c r="O88" s="86" t="str">
        <f t="shared" si="17"/>
        <v>422</v>
      </c>
      <c r="P88" s="86" t="str">
        <f t="shared" si="18"/>
        <v>42</v>
      </c>
      <c r="Q88" s="86" t="str">
        <f t="shared" si="19"/>
        <v>43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43</v>
      </c>
      <c r="D89" s="91" t="str">
        <f t="shared" si="13"/>
        <v>Ostali prihodi za posebne namjene</v>
      </c>
      <c r="E89" s="96">
        <v>4227</v>
      </c>
      <c r="F89" s="91" t="str">
        <f t="shared" si="14"/>
        <v>Uređaji, strojevi i oprema za ostale namjene</v>
      </c>
      <c r="G89" s="129" t="s">
        <v>174</v>
      </c>
      <c r="H89" s="91" t="str">
        <f t="shared" si="15"/>
        <v>REDOVNA DJELATNOST SVEUČILIŠTA U RIJECI (IZ EVIDENCIJSKIH PRIHODA)</v>
      </c>
      <c r="I89" s="91" t="str">
        <f t="shared" si="16"/>
        <v>0942</v>
      </c>
      <c r="J89" s="128">
        <v>10500</v>
      </c>
      <c r="K89" s="128">
        <v>5000</v>
      </c>
      <c r="L89" s="128">
        <v>5000</v>
      </c>
      <c r="M89" s="95"/>
      <c r="O89" s="86" t="str">
        <f t="shared" si="17"/>
        <v>422</v>
      </c>
      <c r="P89" s="86" t="str">
        <f t="shared" si="18"/>
        <v>42</v>
      </c>
      <c r="Q89" s="86" t="str">
        <f t="shared" si="19"/>
        <v>43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43</v>
      </c>
      <c r="D90" s="91" t="str">
        <f t="shared" si="13"/>
        <v>Ostali prihodi za posebne namjene</v>
      </c>
      <c r="E90" s="96">
        <v>4241</v>
      </c>
      <c r="F90" s="91" t="str">
        <f t="shared" si="14"/>
        <v>Knjige</v>
      </c>
      <c r="G90" s="129" t="s">
        <v>174</v>
      </c>
      <c r="H90" s="91" t="str">
        <f t="shared" si="15"/>
        <v>REDOVNA DJELATNOST SVEUČILIŠTA U RIJECI (IZ EVIDENCIJSKIH PRIHODA)</v>
      </c>
      <c r="I90" s="91" t="str">
        <f t="shared" si="16"/>
        <v>0942</v>
      </c>
      <c r="J90" s="128">
        <v>1000</v>
      </c>
      <c r="K90" s="128">
        <v>1100</v>
      </c>
      <c r="L90" s="128">
        <v>1200</v>
      </c>
      <c r="M90" s="95"/>
      <c r="O90" s="86" t="str">
        <f t="shared" si="17"/>
        <v>424</v>
      </c>
      <c r="P90" s="86" t="str">
        <f t="shared" si="18"/>
        <v>42</v>
      </c>
      <c r="Q90" s="86" t="str">
        <f t="shared" si="19"/>
        <v>43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43</v>
      </c>
      <c r="D91" s="91" t="str">
        <f t="shared" si="13"/>
        <v>Ostali prihodi za posebne namjene</v>
      </c>
      <c r="E91" s="96">
        <v>3236</v>
      </c>
      <c r="F91" s="91" t="str">
        <f t="shared" si="14"/>
        <v>Zdravstvene i veterinarske usluge</v>
      </c>
      <c r="G91" s="129" t="s">
        <v>174</v>
      </c>
      <c r="H91" s="91" t="str">
        <f t="shared" si="15"/>
        <v>REDOVNA DJELATNOST SVEUČILIŠTA U RIJECI (IZ EVIDENCIJSKIH PRIHODA)</v>
      </c>
      <c r="I91" s="91" t="str">
        <f t="shared" si="16"/>
        <v>0942</v>
      </c>
      <c r="J91" s="128">
        <v>3000</v>
      </c>
      <c r="K91" s="128">
        <v>3000</v>
      </c>
      <c r="L91" s="128">
        <v>3000</v>
      </c>
      <c r="M91" s="95"/>
      <c r="O91" s="86" t="str">
        <f t="shared" si="17"/>
        <v>323</v>
      </c>
      <c r="P91" s="86" t="str">
        <f t="shared" si="18"/>
        <v>32</v>
      </c>
      <c r="Q91" s="86" t="str">
        <f t="shared" si="19"/>
        <v>43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52</v>
      </c>
      <c r="D92" s="91" t="str">
        <f t="shared" si="13"/>
        <v>Ostale pomoći</v>
      </c>
      <c r="E92" s="96">
        <v>3239</v>
      </c>
      <c r="F92" s="91" t="str">
        <f t="shared" si="14"/>
        <v>Ostale usluge</v>
      </c>
      <c r="G92" s="129" t="s">
        <v>174</v>
      </c>
      <c r="H92" s="91" t="str">
        <f t="shared" si="15"/>
        <v>REDOVNA DJELATNOST SVEUČILIŠTA U RIJECI (IZ EVIDENCIJSKIH PRIHODA)</v>
      </c>
      <c r="I92" s="91" t="str">
        <f t="shared" si="16"/>
        <v>0942</v>
      </c>
      <c r="J92" s="128">
        <v>2000</v>
      </c>
      <c r="K92" s="128">
        <v>2000</v>
      </c>
      <c r="L92" s="128">
        <v>2000</v>
      </c>
      <c r="M92" s="95"/>
      <c r="O92" s="86" t="str">
        <f t="shared" si="17"/>
        <v>323</v>
      </c>
      <c r="P92" s="86" t="str">
        <f t="shared" si="18"/>
        <v>32</v>
      </c>
      <c r="Q92" s="86" t="str">
        <f t="shared" si="19"/>
        <v>52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52</v>
      </c>
      <c r="D93" s="91" t="str">
        <f t="shared" si="13"/>
        <v>Ostale pomoći</v>
      </c>
      <c r="E93" s="96">
        <v>3299</v>
      </c>
      <c r="F93" s="91" t="str">
        <f t="shared" si="14"/>
        <v>Ostali nespomenuti rashodi poslovanja</v>
      </c>
      <c r="G93" s="129" t="s">
        <v>174</v>
      </c>
      <c r="H93" s="91" t="str">
        <f t="shared" si="15"/>
        <v>REDOVNA DJELATNOST SVEUČILIŠTA U RIJECI (IZ EVIDENCIJSKIH PRIHODA)</v>
      </c>
      <c r="I93" s="91" t="str">
        <f t="shared" si="16"/>
        <v>0942</v>
      </c>
      <c r="J93" s="128">
        <v>3000</v>
      </c>
      <c r="K93" s="128">
        <v>5000</v>
      </c>
      <c r="L93" s="128">
        <v>5000</v>
      </c>
      <c r="M93" s="95"/>
      <c r="O93" s="86" t="str">
        <f t="shared" si="17"/>
        <v>329</v>
      </c>
      <c r="P93" s="86" t="str">
        <f t="shared" si="18"/>
        <v>32</v>
      </c>
      <c r="Q93" s="86" t="str">
        <f t="shared" si="19"/>
        <v>52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08006</v>
      </c>
      <c r="B94" s="90" t="str">
        <f>IF(C94="","",VLOOKUP('OPĆI DIO'!$C$3,'OPĆI DIO'!$L$6:$U$138,9,FALSE))</f>
        <v>Sveučilišta i veleučilišta u Republici Hrvatskoj</v>
      </c>
      <c r="C94" s="96">
        <v>52</v>
      </c>
      <c r="D94" s="91" t="str">
        <f t="shared" si="13"/>
        <v>Ostale pomoći</v>
      </c>
      <c r="E94" s="96">
        <v>3237</v>
      </c>
      <c r="F94" s="91" t="str">
        <f t="shared" si="14"/>
        <v>Intelektualne i osobne usluge</v>
      </c>
      <c r="G94" s="129" t="s">
        <v>174</v>
      </c>
      <c r="H94" s="91" t="str">
        <f t="shared" si="15"/>
        <v>REDOVNA DJELATNOST SVEUČILIŠTA U RIJECI (IZ EVIDENCIJSKIH PRIHODA)</v>
      </c>
      <c r="I94" s="91" t="str">
        <f t="shared" si="16"/>
        <v>0942</v>
      </c>
      <c r="J94" s="128">
        <v>3000</v>
      </c>
      <c r="K94" s="128">
        <v>5000</v>
      </c>
      <c r="L94" s="128">
        <v>5000</v>
      </c>
      <c r="M94" s="95"/>
      <c r="O94" s="86" t="str">
        <f t="shared" si="17"/>
        <v>323</v>
      </c>
      <c r="P94" s="86" t="str">
        <f t="shared" si="18"/>
        <v>32</v>
      </c>
      <c r="Q94" s="86" t="str">
        <f t="shared" si="19"/>
        <v>52</v>
      </c>
      <c r="R94" s="86" t="str">
        <f t="shared" si="20"/>
        <v>94</v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08006</v>
      </c>
      <c r="B95" s="90" t="str">
        <f>IF(C95="","",VLOOKUP('OPĆI DIO'!$C$3,'OPĆI DIO'!$L$6:$U$138,9,FALSE))</f>
        <v>Sveučilišta i veleučilišta u Republici Hrvatskoj</v>
      </c>
      <c r="C95" s="96">
        <v>52</v>
      </c>
      <c r="D95" s="91" t="str">
        <f t="shared" si="13"/>
        <v>Ostale pomoći</v>
      </c>
      <c r="E95" s="96">
        <v>3213</v>
      </c>
      <c r="F95" s="91" t="str">
        <f t="shared" si="14"/>
        <v>Stručno usavršavanje zaposlenika</v>
      </c>
      <c r="G95" s="129" t="s">
        <v>174</v>
      </c>
      <c r="H95" s="91" t="str">
        <f t="shared" si="15"/>
        <v>REDOVNA DJELATNOST SVEUČILIŠTA U RIJECI (IZ EVIDENCIJSKIH PRIHODA)</v>
      </c>
      <c r="I95" s="91" t="str">
        <f t="shared" si="16"/>
        <v>0942</v>
      </c>
      <c r="J95" s="128">
        <v>2000</v>
      </c>
      <c r="K95" s="128">
        <v>2000</v>
      </c>
      <c r="L95" s="128">
        <v>2000</v>
      </c>
      <c r="M95" s="95"/>
      <c r="O95" s="86" t="str">
        <f t="shared" si="17"/>
        <v>321</v>
      </c>
      <c r="P95" s="86" t="str">
        <f t="shared" si="18"/>
        <v>32</v>
      </c>
      <c r="Q95" s="86" t="str">
        <f t="shared" si="19"/>
        <v>52</v>
      </c>
      <c r="R95" s="86" t="str">
        <f t="shared" si="20"/>
        <v>94</v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08006</v>
      </c>
      <c r="B96" s="90" t="str">
        <f>IF(C96="","",VLOOKUP('OPĆI DIO'!$C$3,'OPĆI DIO'!$L$6:$U$138,9,FALSE))</f>
        <v>Sveučilišta i veleučilišta u Republici Hrvatskoj</v>
      </c>
      <c r="C96" s="96">
        <v>52</v>
      </c>
      <c r="D96" s="91" t="str">
        <f t="shared" si="13"/>
        <v>Ostale pomoći</v>
      </c>
      <c r="E96" s="96">
        <v>3211</v>
      </c>
      <c r="F96" s="91" t="str">
        <f t="shared" si="14"/>
        <v>Službena putovanja</v>
      </c>
      <c r="G96" s="129" t="s">
        <v>174</v>
      </c>
      <c r="H96" s="91" t="str">
        <f t="shared" si="15"/>
        <v>REDOVNA DJELATNOST SVEUČILIŠTA U RIJECI (IZ EVIDENCIJSKIH PRIHODA)</v>
      </c>
      <c r="I96" s="91" t="str">
        <f t="shared" si="16"/>
        <v>0942</v>
      </c>
      <c r="J96" s="128">
        <v>10000</v>
      </c>
      <c r="K96" s="128">
        <v>12000</v>
      </c>
      <c r="L96" s="128">
        <v>10000</v>
      </c>
      <c r="M96" s="95"/>
      <c r="O96" s="86" t="str">
        <f t="shared" si="17"/>
        <v>321</v>
      </c>
      <c r="P96" s="86" t="str">
        <f t="shared" si="18"/>
        <v>32</v>
      </c>
      <c r="Q96" s="86" t="str">
        <f t="shared" si="19"/>
        <v>52</v>
      </c>
      <c r="R96" s="86" t="str">
        <f t="shared" si="20"/>
        <v>94</v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08006</v>
      </c>
      <c r="B97" s="90" t="str">
        <f>IF(C97="","",VLOOKUP('OPĆI DIO'!$C$3,'OPĆI DIO'!$L$6:$U$138,9,FALSE))</f>
        <v>Sveučilišta i veleučilišta u Republici Hrvatskoj</v>
      </c>
      <c r="C97" s="96">
        <v>61</v>
      </c>
      <c r="D97" s="91" t="str">
        <f t="shared" si="13"/>
        <v>Donacije</v>
      </c>
      <c r="E97" s="96">
        <v>3239</v>
      </c>
      <c r="F97" s="91" t="str">
        <f t="shared" si="14"/>
        <v>Ostale usluge</v>
      </c>
      <c r="G97" s="129" t="s">
        <v>174</v>
      </c>
      <c r="H97" s="91" t="str">
        <f t="shared" si="15"/>
        <v>REDOVNA DJELATNOST SVEUČILIŠTA U RIJECI (IZ EVIDENCIJSKIH PRIHODA)</v>
      </c>
      <c r="I97" s="91" t="str">
        <f t="shared" si="16"/>
        <v>0942</v>
      </c>
      <c r="J97" s="128">
        <v>570</v>
      </c>
      <c r="K97" s="128"/>
      <c r="L97" s="128"/>
      <c r="M97" s="95"/>
      <c r="O97" s="86" t="str">
        <f t="shared" si="17"/>
        <v>323</v>
      </c>
      <c r="P97" s="86" t="str">
        <f t="shared" si="18"/>
        <v>32</v>
      </c>
      <c r="Q97" s="86" t="str">
        <f t="shared" si="19"/>
        <v>61</v>
      </c>
      <c r="R97" s="86" t="str">
        <f t="shared" si="20"/>
        <v>94</v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08006</v>
      </c>
      <c r="B98" s="90" t="str">
        <f>IF(C98="","",VLOOKUP('OPĆI DIO'!$C$3,'OPĆI DIO'!$L$6:$U$138,9,FALSE))</f>
        <v>Sveučilišta i veleučilišta u Republici Hrvatskoj</v>
      </c>
      <c r="C98" s="96">
        <v>71</v>
      </c>
      <c r="D98" s="91" t="str">
        <f t="shared" si="13"/>
        <v>Prihodi od nefin. imovine i nadoknade štete s osnova osig.</v>
      </c>
      <c r="E98" s="96">
        <v>3299</v>
      </c>
      <c r="F98" s="91" t="str">
        <f t="shared" si="14"/>
        <v>Ostali nespomenuti rashodi poslovanja</v>
      </c>
      <c r="G98" s="129" t="s">
        <v>174</v>
      </c>
      <c r="H98" s="91" t="str">
        <f t="shared" si="15"/>
        <v>REDOVNA DJELATNOST SVEUČILIŠTA U RIJECI (IZ EVIDENCIJSKIH PRIHODA)</v>
      </c>
      <c r="I98" s="91" t="str">
        <f t="shared" si="16"/>
        <v>0942</v>
      </c>
      <c r="J98" s="128">
        <v>1000</v>
      </c>
      <c r="K98" s="128">
        <v>2000</v>
      </c>
      <c r="L98" s="128">
        <v>2000</v>
      </c>
      <c r="M98" s="95"/>
      <c r="O98" s="86" t="str">
        <f t="shared" si="17"/>
        <v>329</v>
      </c>
      <c r="P98" s="86" t="str">
        <f t="shared" si="18"/>
        <v>32</v>
      </c>
      <c r="Q98" s="86" t="str">
        <f t="shared" si="19"/>
        <v>71</v>
      </c>
      <c r="R98" s="86" t="str">
        <f t="shared" si="20"/>
        <v>94</v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>08006</v>
      </c>
      <c r="B99" s="90" t="str">
        <f>IF(C99="","",VLOOKUP('OPĆI DIO'!$C$3,'OPĆI DIO'!$L$6:$U$138,9,FALSE))</f>
        <v>Sveučilišta i veleučilišta u Republici Hrvatskoj</v>
      </c>
      <c r="C99" s="96">
        <v>43</v>
      </c>
      <c r="D99" s="91" t="str">
        <f t="shared" si="13"/>
        <v>Ostali prihodi za posebne namjene</v>
      </c>
      <c r="E99" s="96">
        <v>3235</v>
      </c>
      <c r="F99" s="91" t="str">
        <f t="shared" si="14"/>
        <v>Zakupnine i najamnine</v>
      </c>
      <c r="G99" s="129" t="s">
        <v>174</v>
      </c>
      <c r="H99" s="91" t="str">
        <f t="shared" si="15"/>
        <v>REDOVNA DJELATNOST SVEUČILIŠTA U RIJECI (IZ EVIDENCIJSKIH PRIHODA)</v>
      </c>
      <c r="I99" s="91" t="str">
        <f t="shared" si="16"/>
        <v>0942</v>
      </c>
      <c r="J99" s="128">
        <v>5000</v>
      </c>
      <c r="K99" s="128"/>
      <c r="L99" s="128"/>
      <c r="M99" s="95"/>
      <c r="O99" s="86" t="str">
        <f t="shared" si="17"/>
        <v>323</v>
      </c>
      <c r="P99" s="86" t="str">
        <f t="shared" si="18"/>
        <v>32</v>
      </c>
      <c r="Q99" s="86" t="str">
        <f t="shared" si="19"/>
        <v>43</v>
      </c>
      <c r="R99" s="86" t="str">
        <f t="shared" si="20"/>
        <v>94</v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4597000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269186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4866186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4866186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horizontalDpi="4294967295" verticalDpi="4294967295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80" zoomScaleNormal="80" workbookViewId="0">
      <pane ySplit="2" topLeftCell="A3" activePane="bottomLeft" state="frozen"/>
      <selection pane="bottomLeft" activeCell="I31" sqref="I31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7" t="s">
        <v>664</v>
      </c>
      <c r="B1" s="367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/>
      <c r="B3" s="91" t="str">
        <f t="shared" ref="B3" si="0">IFERROR(VLOOKUP(A3,$U$6:$V$23,2,FALSE),"")</f>
        <v/>
      </c>
      <c r="C3" s="96"/>
      <c r="D3" s="91" t="str">
        <f>IFERROR(VLOOKUP(C3,$X$5:$Z$129,2,FALSE),"")</f>
        <v/>
      </c>
      <c r="E3" s="351"/>
      <c r="F3" s="91" t="str">
        <f>IFERROR(VLOOKUP(E3,$AD$6:$AE$1090,2,FALSE),"")</f>
        <v/>
      </c>
      <c r="G3" s="91" t="str">
        <f>IFERROR(VLOOKUP(E3,$AD$6:$AG$1090,4,FALSE),"")</f>
        <v/>
      </c>
      <c r="H3" s="128"/>
      <c r="I3" s="128"/>
      <c r="J3" s="128"/>
      <c r="K3" s="143"/>
      <c r="L3" s="142"/>
      <c r="M3" s="142"/>
      <c r="N3" s="143"/>
      <c r="O3" s="322"/>
      <c r="P3" s="95"/>
      <c r="R3" s="86" t="str">
        <f>LEFT(C3,3)</f>
        <v/>
      </c>
      <c r="S3" s="86" t="str">
        <f>LEFT(C3,2)</f>
        <v/>
      </c>
      <c r="T3" s="86" t="str">
        <f>MID(G3,2,2)</f>
        <v/>
      </c>
    </row>
    <row r="4" spans="1:33">
      <c r="A4" s="96">
        <v>51</v>
      </c>
      <c r="B4" s="91" t="str">
        <f t="shared" ref="B4:B67" si="1">IFERROR(VLOOKUP(A4,$U$6:$V$23,2,FALSE),"")</f>
        <v>Pomoći EU</v>
      </c>
      <c r="C4" s="96">
        <v>3111</v>
      </c>
      <c r="D4" s="91" t="str">
        <f t="shared" ref="D4:D67" si="2">IFERROR(VLOOKUP(C4,$X$5:$Z$129,2,FALSE),"")</f>
        <v>Plaće za redovan rad</v>
      </c>
      <c r="E4" s="129" t="s">
        <v>3066</v>
      </c>
      <c r="F4" s="91" t="str">
        <f t="shared" ref="F4:F67" si="3">IFERROR(VLOOKUP(E4,$AD$6:$AE$1090,2,FALSE),"")</f>
        <v>ON IT - mrežno pravo u turizmu</v>
      </c>
      <c r="G4" s="91" t="str">
        <f t="shared" ref="G4:G67" si="4">IFERROR(VLOOKUP(E4,$AD$6:$AG$1090,4,FALSE),"")</f>
        <v>0942</v>
      </c>
      <c r="H4" s="128">
        <v>1640</v>
      </c>
      <c r="I4" s="128">
        <v>0</v>
      </c>
      <c r="J4" s="128">
        <v>0</v>
      </c>
      <c r="K4" s="143"/>
      <c r="L4" s="142"/>
      <c r="M4" s="142"/>
      <c r="N4" s="143"/>
      <c r="O4" s="322"/>
      <c r="P4" s="95"/>
      <c r="R4" s="86" t="str">
        <f t="shared" ref="R4:R67" si="5">LEFT(C4,3)</f>
        <v>311</v>
      </c>
      <c r="S4" s="86" t="str">
        <f t="shared" ref="S4:S67" si="6">LEFT(C4,2)</f>
        <v>31</v>
      </c>
      <c r="T4" s="86" t="str">
        <f t="shared" ref="T4:T67" si="7">MID(G4,2,2)</f>
        <v>94</v>
      </c>
      <c r="X4" s="92"/>
      <c r="Y4" s="92"/>
    </row>
    <row r="5" spans="1:33">
      <c r="A5" s="96">
        <v>51</v>
      </c>
      <c r="B5" s="91" t="str">
        <f t="shared" si="1"/>
        <v>Pomoći EU</v>
      </c>
      <c r="C5" s="96">
        <v>3132</v>
      </c>
      <c r="D5" s="91" t="str">
        <f t="shared" si="2"/>
        <v>Doprinosi za obvezno zdravstveno osiguranje</v>
      </c>
      <c r="E5" s="129" t="s">
        <v>3066</v>
      </c>
      <c r="F5" s="91" t="str">
        <f t="shared" si="3"/>
        <v>ON IT - mrežno pravo u turizmu</v>
      </c>
      <c r="G5" s="91" t="str">
        <f t="shared" si="4"/>
        <v>0942</v>
      </c>
      <c r="H5" s="128">
        <v>1790</v>
      </c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>313</v>
      </c>
      <c r="S5" s="86" t="str">
        <f t="shared" si="6"/>
        <v>31</v>
      </c>
      <c r="T5" s="86" t="str">
        <f t="shared" si="7"/>
        <v>94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51</v>
      </c>
      <c r="B6" s="91" t="str">
        <f t="shared" si="1"/>
        <v>Pomoći EU</v>
      </c>
      <c r="C6" s="96">
        <v>3211</v>
      </c>
      <c r="D6" s="91" t="str">
        <f t="shared" si="2"/>
        <v>Službena putovanja</v>
      </c>
      <c r="E6" s="129" t="s">
        <v>3066</v>
      </c>
      <c r="F6" s="91" t="str">
        <f t="shared" si="3"/>
        <v>ON IT - mrežno pravo u turizmu</v>
      </c>
      <c r="G6" s="91" t="str">
        <f t="shared" si="4"/>
        <v>0942</v>
      </c>
      <c r="H6" s="128">
        <v>1520</v>
      </c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>321</v>
      </c>
      <c r="S6" s="86" t="str">
        <f t="shared" si="6"/>
        <v>32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51</v>
      </c>
      <c r="B7" s="91" t="str">
        <f t="shared" si="1"/>
        <v>Pomoći EU</v>
      </c>
      <c r="C7" s="96">
        <v>3221</v>
      </c>
      <c r="D7" s="91" t="str">
        <f t="shared" si="2"/>
        <v>Uredski materijal i ostali materijalni rashodi</v>
      </c>
      <c r="E7" s="129" t="s">
        <v>3066</v>
      </c>
      <c r="F7" s="91" t="str">
        <f t="shared" si="3"/>
        <v>ON IT - mrežno pravo u turizmu</v>
      </c>
      <c r="G7" s="91" t="str">
        <f t="shared" si="4"/>
        <v>0942</v>
      </c>
      <c r="H7" s="128">
        <v>1200</v>
      </c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>322</v>
      </c>
      <c r="S7" s="86" t="str">
        <f t="shared" si="6"/>
        <v>32</v>
      </c>
      <c r="T7" s="86" t="str">
        <f t="shared" si="7"/>
        <v>94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51</v>
      </c>
      <c r="B8" s="91" t="str">
        <f t="shared" si="1"/>
        <v>Pomoći EU</v>
      </c>
      <c r="C8" s="96">
        <v>3111</v>
      </c>
      <c r="D8" s="91" t="str">
        <f t="shared" si="2"/>
        <v>Plaće za redovan rad</v>
      </c>
      <c r="E8" s="129" t="s">
        <v>3068</v>
      </c>
      <c r="F8" s="91" t="str">
        <f t="shared" si="3"/>
        <v>INCOMPEDU - INOVATIVNO NATJECANJE U ONLINE VISOKOM OBRAZOVANJU</v>
      </c>
      <c r="G8" s="91" t="str">
        <f t="shared" si="4"/>
        <v>0942</v>
      </c>
      <c r="H8" s="128">
        <v>12290</v>
      </c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>311</v>
      </c>
      <c r="S8" s="86" t="str">
        <f t="shared" si="6"/>
        <v>31</v>
      </c>
      <c r="T8" s="86" t="str">
        <f t="shared" si="7"/>
        <v>94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51</v>
      </c>
      <c r="B9" s="91" t="str">
        <f t="shared" si="1"/>
        <v>Pomoći EU</v>
      </c>
      <c r="C9" s="96">
        <v>3132</v>
      </c>
      <c r="D9" s="91" t="str">
        <f t="shared" si="2"/>
        <v>Doprinosi za obvezno zdravstveno osiguranje</v>
      </c>
      <c r="E9" s="129" t="s">
        <v>3068</v>
      </c>
      <c r="F9" s="91" t="str">
        <f t="shared" si="3"/>
        <v>INCOMPEDU - INOVATIVNO NATJECANJE U ONLINE VISOKOM OBRAZOVANJU</v>
      </c>
      <c r="G9" s="91" t="str">
        <f t="shared" si="4"/>
        <v>0942</v>
      </c>
      <c r="H9" s="128">
        <v>2030</v>
      </c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>313</v>
      </c>
      <c r="S9" s="86" t="str">
        <f t="shared" si="6"/>
        <v>31</v>
      </c>
      <c r="T9" s="86" t="str">
        <f t="shared" si="7"/>
        <v>94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51</v>
      </c>
      <c r="B10" s="91" t="str">
        <f t="shared" si="1"/>
        <v>Pomoći EU</v>
      </c>
      <c r="C10" s="96">
        <v>3111</v>
      </c>
      <c r="D10" s="91" t="str">
        <f t="shared" si="2"/>
        <v>Plaće za redovan rad</v>
      </c>
      <c r="E10" s="129" t="s">
        <v>699</v>
      </c>
      <c r="F10" s="91" t="str">
        <f t="shared" si="3"/>
        <v>NOVI PODPROJEKT</v>
      </c>
      <c r="G10" s="91" t="str">
        <f t="shared" si="4"/>
        <v>NOVI PODPROJEKT</v>
      </c>
      <c r="H10" s="128">
        <v>47000</v>
      </c>
      <c r="I10" s="128">
        <v>42260</v>
      </c>
      <c r="J10" s="128">
        <v>24940</v>
      </c>
      <c r="K10" s="143" t="s">
        <v>5281</v>
      </c>
      <c r="L10" s="353" t="s">
        <v>5282</v>
      </c>
      <c r="M10" s="353" t="s">
        <v>5285</v>
      </c>
      <c r="N10" s="143" t="s">
        <v>5284</v>
      </c>
      <c r="O10" s="322"/>
      <c r="P10" s="95"/>
      <c r="R10" s="86" t="str">
        <f t="shared" si="5"/>
        <v>311</v>
      </c>
      <c r="S10" s="86" t="str">
        <f t="shared" si="6"/>
        <v>31</v>
      </c>
      <c r="T10" s="86" t="str">
        <f t="shared" si="7"/>
        <v>OV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51</v>
      </c>
      <c r="B11" s="91" t="str">
        <f t="shared" si="1"/>
        <v>Pomoći EU</v>
      </c>
      <c r="C11" s="96">
        <v>3132</v>
      </c>
      <c r="D11" s="91" t="str">
        <f t="shared" si="2"/>
        <v>Doprinosi za obvezno zdravstveno osiguranje</v>
      </c>
      <c r="E11" s="129" t="s">
        <v>699</v>
      </c>
      <c r="F11" s="91" t="str">
        <f t="shared" si="3"/>
        <v>NOVI PODPROJEKT</v>
      </c>
      <c r="G11" s="91" t="str">
        <f t="shared" si="4"/>
        <v>NOVI PODPROJEKT</v>
      </c>
      <c r="H11" s="128">
        <v>7750</v>
      </c>
      <c r="I11" s="128">
        <v>6970</v>
      </c>
      <c r="J11" s="128">
        <v>4120</v>
      </c>
      <c r="K11" s="143"/>
      <c r="L11" s="142"/>
      <c r="M11" s="142"/>
      <c r="N11" s="143"/>
      <c r="O11" s="322"/>
      <c r="P11" s="95"/>
      <c r="R11" s="86" t="str">
        <f t="shared" si="5"/>
        <v>313</v>
      </c>
      <c r="S11" s="86" t="str">
        <f t="shared" si="6"/>
        <v>31</v>
      </c>
      <c r="T11" s="86" t="str">
        <f t="shared" si="7"/>
        <v>OV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51</v>
      </c>
      <c r="B12" s="91" t="str">
        <f t="shared" si="1"/>
        <v>Pomoći EU</v>
      </c>
      <c r="C12" s="96">
        <v>3211</v>
      </c>
      <c r="D12" s="91" t="str">
        <f t="shared" si="2"/>
        <v>Službena putovanja</v>
      </c>
      <c r="E12" s="129" t="s">
        <v>699</v>
      </c>
      <c r="F12" s="91" t="str">
        <f t="shared" si="3"/>
        <v>NOVI PODPROJEKT</v>
      </c>
      <c r="G12" s="91" t="str">
        <f t="shared" si="4"/>
        <v>NOVI PODPROJEKT</v>
      </c>
      <c r="H12" s="128">
        <v>13220</v>
      </c>
      <c r="I12" s="128">
        <v>13300</v>
      </c>
      <c r="J12" s="128">
        <v>8900</v>
      </c>
      <c r="K12" s="143"/>
      <c r="L12" s="142"/>
      <c r="M12" s="142"/>
      <c r="N12" s="143"/>
      <c r="O12" s="322"/>
      <c r="P12" s="95"/>
      <c r="R12" s="86" t="str">
        <f t="shared" si="5"/>
        <v>321</v>
      </c>
      <c r="S12" s="86" t="str">
        <f t="shared" si="6"/>
        <v>32</v>
      </c>
      <c r="T12" s="86" t="str">
        <f t="shared" si="7"/>
        <v>OV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51</v>
      </c>
      <c r="B13" s="91" t="str">
        <f t="shared" si="1"/>
        <v>Pomoći EU</v>
      </c>
      <c r="C13" s="96">
        <v>3221</v>
      </c>
      <c r="D13" s="91" t="str">
        <f t="shared" si="2"/>
        <v>Uredski materijal i ostali materijalni rashodi</v>
      </c>
      <c r="E13" s="129" t="s">
        <v>699</v>
      </c>
      <c r="F13" s="91" t="str">
        <f t="shared" si="3"/>
        <v>NOVI PODPROJEKT</v>
      </c>
      <c r="G13" s="91" t="str">
        <f t="shared" si="4"/>
        <v>NOVI PODPROJEKT</v>
      </c>
      <c r="H13" s="128">
        <v>14370</v>
      </c>
      <c r="I13" s="128">
        <v>14370</v>
      </c>
      <c r="J13" s="128">
        <v>9600</v>
      </c>
      <c r="K13" s="143"/>
      <c r="L13" s="142"/>
      <c r="M13" s="142"/>
      <c r="N13" s="143"/>
      <c r="O13" s="322"/>
      <c r="P13" s="95"/>
      <c r="R13" s="86" t="str">
        <f t="shared" si="5"/>
        <v>322</v>
      </c>
      <c r="S13" s="86" t="str">
        <f t="shared" si="6"/>
        <v>32</v>
      </c>
      <c r="T13" s="86" t="str">
        <f t="shared" si="7"/>
        <v>OV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51</v>
      </c>
      <c r="B14" s="91" t="str">
        <f t="shared" si="1"/>
        <v>Pomoći EU</v>
      </c>
      <c r="C14" s="96">
        <v>3233</v>
      </c>
      <c r="D14" s="91" t="str">
        <f t="shared" si="2"/>
        <v>Usluge promidžbe i informiranja</v>
      </c>
      <c r="E14" s="129" t="s">
        <v>699</v>
      </c>
      <c r="F14" s="91" t="str">
        <f t="shared" si="3"/>
        <v>NOVI PODPROJEKT</v>
      </c>
      <c r="G14" s="91" t="str">
        <f t="shared" si="4"/>
        <v>NOVI PODPROJEKT</v>
      </c>
      <c r="H14" s="128">
        <v>500</v>
      </c>
      <c r="I14" s="128">
        <v>500</v>
      </c>
      <c r="J14" s="128">
        <v>300</v>
      </c>
      <c r="K14" s="143"/>
      <c r="L14" s="142"/>
      <c r="M14" s="142"/>
      <c r="N14" s="143"/>
      <c r="O14" s="322"/>
      <c r="P14" s="95"/>
      <c r="R14" s="86" t="str">
        <f t="shared" si="5"/>
        <v>323</v>
      </c>
      <c r="S14" s="86" t="str">
        <f t="shared" si="6"/>
        <v>32</v>
      </c>
      <c r="T14" s="86" t="str">
        <f t="shared" si="7"/>
        <v>OV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51</v>
      </c>
      <c r="B15" s="91" t="str">
        <f t="shared" si="1"/>
        <v>Pomoći EU</v>
      </c>
      <c r="C15" s="96">
        <v>3111</v>
      </c>
      <c r="D15" s="91" t="str">
        <f t="shared" si="2"/>
        <v>Plaće za redovan rad</v>
      </c>
      <c r="E15" s="129" t="s">
        <v>699</v>
      </c>
      <c r="F15" s="91" t="str">
        <f t="shared" si="3"/>
        <v>NOVI PODPROJEKT</v>
      </c>
      <c r="G15" s="91" t="str">
        <f t="shared" si="4"/>
        <v>NOVI PODPROJEKT</v>
      </c>
      <c r="H15" s="128">
        <v>22300</v>
      </c>
      <c r="I15" s="128">
        <v>22300</v>
      </c>
      <c r="J15" s="128">
        <v>22300</v>
      </c>
      <c r="K15" s="143" t="s">
        <v>5286</v>
      </c>
      <c r="L15" s="353" t="s">
        <v>5282</v>
      </c>
      <c r="M15" s="353" t="s">
        <v>5285</v>
      </c>
      <c r="N15" s="143" t="s">
        <v>5287</v>
      </c>
      <c r="O15" s="322" t="s">
        <v>5291</v>
      </c>
      <c r="P15" s="95"/>
      <c r="R15" s="86" t="str">
        <f t="shared" si="5"/>
        <v>311</v>
      </c>
      <c r="S15" s="86" t="str">
        <f t="shared" si="6"/>
        <v>31</v>
      </c>
      <c r="T15" s="86" t="str">
        <f t="shared" si="7"/>
        <v>OV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51</v>
      </c>
      <c r="B16" s="91" t="str">
        <f t="shared" si="1"/>
        <v>Pomoći EU</v>
      </c>
      <c r="C16" s="96">
        <v>3132</v>
      </c>
      <c r="D16" s="91" t="str">
        <f t="shared" si="2"/>
        <v>Doprinosi za obvezno zdravstveno osiguranje</v>
      </c>
      <c r="E16" s="129" t="s">
        <v>699</v>
      </c>
      <c r="F16" s="91" t="str">
        <f t="shared" si="3"/>
        <v>NOVI PODPROJEKT</v>
      </c>
      <c r="G16" s="91" t="str">
        <f t="shared" si="4"/>
        <v>NOVI PODPROJEKT</v>
      </c>
      <c r="H16" s="128">
        <v>3700</v>
      </c>
      <c r="I16" s="128">
        <v>3700</v>
      </c>
      <c r="J16" s="128">
        <v>3700</v>
      </c>
      <c r="K16" s="143"/>
      <c r="L16" s="142"/>
      <c r="M16" s="142"/>
      <c r="N16" s="143"/>
      <c r="O16" s="322"/>
      <c r="P16" s="95"/>
      <c r="R16" s="86" t="str">
        <f t="shared" si="5"/>
        <v>313</v>
      </c>
      <c r="S16" s="86" t="str">
        <f t="shared" si="6"/>
        <v>31</v>
      </c>
      <c r="T16" s="86" t="str">
        <f t="shared" si="7"/>
        <v>OV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51</v>
      </c>
      <c r="B17" s="91" t="str">
        <f t="shared" si="1"/>
        <v>Pomoći EU</v>
      </c>
      <c r="C17" s="96">
        <v>3211</v>
      </c>
      <c r="D17" s="91" t="str">
        <f t="shared" si="2"/>
        <v>Službena putovanja</v>
      </c>
      <c r="E17" s="129" t="s">
        <v>699</v>
      </c>
      <c r="F17" s="91" t="str">
        <f t="shared" si="3"/>
        <v>NOVI PODPROJEKT</v>
      </c>
      <c r="G17" s="91" t="str">
        <f t="shared" si="4"/>
        <v>NOVI PODPROJEKT</v>
      </c>
      <c r="H17" s="128">
        <v>2100</v>
      </c>
      <c r="I17" s="128">
        <v>2000</v>
      </c>
      <c r="J17" s="128">
        <v>2400</v>
      </c>
      <c r="K17" s="143"/>
      <c r="L17" s="142"/>
      <c r="M17" s="142"/>
      <c r="N17" s="143"/>
      <c r="O17" s="322"/>
      <c r="P17" s="95"/>
      <c r="R17" s="86" t="str">
        <f t="shared" si="5"/>
        <v>321</v>
      </c>
      <c r="S17" s="86" t="str">
        <f t="shared" si="6"/>
        <v>32</v>
      </c>
      <c r="T17" s="86" t="str">
        <f t="shared" si="7"/>
        <v>OV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51</v>
      </c>
      <c r="B18" s="91" t="str">
        <f t="shared" si="1"/>
        <v>Pomoći EU</v>
      </c>
      <c r="C18" s="96">
        <v>3213</v>
      </c>
      <c r="D18" s="91" t="str">
        <f t="shared" si="2"/>
        <v>Stručno usavršavanje zaposlenika</v>
      </c>
      <c r="E18" s="129" t="s">
        <v>699</v>
      </c>
      <c r="F18" s="91" t="str">
        <f t="shared" si="3"/>
        <v>NOVI PODPROJEKT</v>
      </c>
      <c r="G18" s="91" t="str">
        <f t="shared" si="4"/>
        <v>NOVI PODPROJEKT</v>
      </c>
      <c r="H18" s="128">
        <v>200</v>
      </c>
      <c r="I18" s="128">
        <v>200</v>
      </c>
      <c r="J18" s="128">
        <v>200</v>
      </c>
      <c r="K18" s="143"/>
      <c r="L18" s="142"/>
      <c r="M18" s="142"/>
      <c r="N18" s="143"/>
      <c r="O18" s="322"/>
      <c r="P18" s="95"/>
      <c r="R18" s="86" t="str">
        <f t="shared" si="5"/>
        <v>321</v>
      </c>
      <c r="S18" s="86" t="str">
        <f t="shared" si="6"/>
        <v>32</v>
      </c>
      <c r="T18" s="86" t="str">
        <f t="shared" si="7"/>
        <v>OV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51</v>
      </c>
      <c r="B19" s="91" t="str">
        <f t="shared" si="1"/>
        <v>Pomoći EU</v>
      </c>
      <c r="C19" s="96">
        <v>3221</v>
      </c>
      <c r="D19" s="91" t="str">
        <f t="shared" si="2"/>
        <v>Uredski materijal i ostali materijalni rashodi</v>
      </c>
      <c r="E19" s="129" t="s">
        <v>699</v>
      </c>
      <c r="F19" s="91" t="str">
        <f t="shared" si="3"/>
        <v>NOVI PODPROJEKT</v>
      </c>
      <c r="G19" s="91" t="str">
        <f t="shared" si="4"/>
        <v>NOVI PODPROJEKT</v>
      </c>
      <c r="H19" s="128">
        <v>1000</v>
      </c>
      <c r="I19" s="128">
        <v>1000</v>
      </c>
      <c r="J19" s="128">
        <v>1000</v>
      </c>
      <c r="K19" s="143"/>
      <c r="L19" s="142"/>
      <c r="M19" s="142"/>
      <c r="N19" s="143"/>
      <c r="O19" s="322"/>
      <c r="P19" s="95"/>
      <c r="R19" s="86" t="str">
        <f t="shared" si="5"/>
        <v>322</v>
      </c>
      <c r="S19" s="86" t="str">
        <f t="shared" si="6"/>
        <v>32</v>
      </c>
      <c r="T19" s="86" t="str">
        <f t="shared" si="7"/>
        <v>OV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51</v>
      </c>
      <c r="B20" s="91" t="str">
        <f t="shared" si="1"/>
        <v>Pomoći EU</v>
      </c>
      <c r="C20" s="96">
        <v>3233</v>
      </c>
      <c r="D20" s="91" t="str">
        <f t="shared" si="2"/>
        <v>Usluge promidžbe i informiranja</v>
      </c>
      <c r="E20" s="129" t="s">
        <v>699</v>
      </c>
      <c r="F20" s="91" t="str">
        <f t="shared" si="3"/>
        <v>NOVI PODPROJEKT</v>
      </c>
      <c r="G20" s="91" t="str">
        <f t="shared" si="4"/>
        <v>NOVI PODPROJEKT</v>
      </c>
      <c r="H20" s="128">
        <v>650</v>
      </c>
      <c r="I20" s="128">
        <v>600</v>
      </c>
      <c r="J20" s="128">
        <v>750</v>
      </c>
      <c r="K20" s="143"/>
      <c r="L20" s="142"/>
      <c r="M20" s="142"/>
      <c r="N20" s="143"/>
      <c r="O20" s="322"/>
      <c r="P20" s="95"/>
      <c r="R20" s="86" t="str">
        <f t="shared" si="5"/>
        <v>323</v>
      </c>
      <c r="S20" s="86" t="str">
        <f t="shared" si="6"/>
        <v>32</v>
      </c>
      <c r="T20" s="86" t="str">
        <f t="shared" si="7"/>
        <v>OV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51</v>
      </c>
      <c r="B21" s="91" t="str">
        <f t="shared" si="1"/>
        <v>Pomoći EU</v>
      </c>
      <c r="C21" s="96">
        <v>3111</v>
      </c>
      <c r="D21" s="91" t="str">
        <f t="shared" si="2"/>
        <v>Plaće za redovan rad</v>
      </c>
      <c r="E21" s="129" t="s">
        <v>699</v>
      </c>
      <c r="F21" s="91" t="str">
        <f t="shared" si="3"/>
        <v>NOVI PODPROJEKT</v>
      </c>
      <c r="G21" s="91" t="str">
        <f t="shared" si="4"/>
        <v>NOVI PODPROJEKT</v>
      </c>
      <c r="H21" s="128">
        <v>5770</v>
      </c>
      <c r="I21" s="128"/>
      <c r="J21" s="128"/>
      <c r="K21" s="143" t="s">
        <v>5288</v>
      </c>
      <c r="L21" s="353" t="s">
        <v>5282</v>
      </c>
      <c r="M21" s="353" t="s">
        <v>5283</v>
      </c>
      <c r="N21" s="143" t="s">
        <v>5289</v>
      </c>
      <c r="O21" s="322" t="s">
        <v>5290</v>
      </c>
      <c r="P21" s="95"/>
      <c r="R21" s="86" t="str">
        <f t="shared" si="5"/>
        <v>311</v>
      </c>
      <c r="S21" s="86" t="str">
        <f t="shared" si="6"/>
        <v>31</v>
      </c>
      <c r="T21" s="86" t="str">
        <f t="shared" si="7"/>
        <v>OV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51</v>
      </c>
      <c r="B22" s="91" t="str">
        <f t="shared" si="1"/>
        <v>Pomoći EU</v>
      </c>
      <c r="C22" s="96">
        <v>3132</v>
      </c>
      <c r="D22" s="91" t="str">
        <f t="shared" si="2"/>
        <v>Doprinosi za obvezno zdravstveno osiguranje</v>
      </c>
      <c r="E22" s="129" t="s">
        <v>699</v>
      </c>
      <c r="F22" s="91" t="str">
        <f t="shared" si="3"/>
        <v>NOVI PODPROJEKT</v>
      </c>
      <c r="G22" s="91" t="str">
        <f t="shared" si="4"/>
        <v>NOVI PODPROJEKT</v>
      </c>
      <c r="H22" s="128">
        <v>820</v>
      </c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>313</v>
      </c>
      <c r="S22" s="86" t="str">
        <f t="shared" si="6"/>
        <v>31</v>
      </c>
      <c r="T22" s="86" t="str">
        <f t="shared" si="7"/>
        <v>OV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51</v>
      </c>
      <c r="B23" s="91" t="str">
        <f t="shared" si="1"/>
        <v>Pomoći EU</v>
      </c>
      <c r="C23" s="96">
        <v>3211</v>
      </c>
      <c r="D23" s="91" t="str">
        <f t="shared" si="2"/>
        <v>Službena putovanja</v>
      </c>
      <c r="E23" s="129" t="s">
        <v>699</v>
      </c>
      <c r="F23" s="91" t="str">
        <f t="shared" si="3"/>
        <v>NOVI PODPROJEKT</v>
      </c>
      <c r="G23" s="91" t="str">
        <f t="shared" si="4"/>
        <v>NOVI PODPROJEKT</v>
      </c>
      <c r="H23" s="128">
        <v>1860</v>
      </c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>321</v>
      </c>
      <c r="S23" s="86" t="str">
        <f t="shared" si="6"/>
        <v>32</v>
      </c>
      <c r="T23" s="86" t="str">
        <f t="shared" si="7"/>
        <v>OV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>
        <v>52</v>
      </c>
      <c r="B24" s="91" t="str">
        <f t="shared" si="1"/>
        <v>Ostale pomoći</v>
      </c>
      <c r="C24" s="96">
        <v>3111</v>
      </c>
      <c r="D24" s="91" t="str">
        <f t="shared" si="2"/>
        <v>Plaće za redovan rad</v>
      </c>
      <c r="E24" s="129" t="s">
        <v>2083</v>
      </c>
      <c r="F24" s="91" t="str">
        <f t="shared" si="3"/>
        <v>RCK PECEPT - REG. CENTAR PROFESIJA U TURIZMU</v>
      </c>
      <c r="G24" s="91" t="str">
        <f t="shared" si="4"/>
        <v>0942</v>
      </c>
      <c r="H24" s="128">
        <v>20280</v>
      </c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>311</v>
      </c>
      <c r="S24" s="86" t="str">
        <f t="shared" si="6"/>
        <v>31</v>
      </c>
      <c r="T24" s="86" t="str">
        <f t="shared" si="7"/>
        <v>94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52</v>
      </c>
      <c r="B25" s="91" t="str">
        <f t="shared" si="1"/>
        <v>Ostale pomoći</v>
      </c>
      <c r="C25" s="96">
        <v>3132</v>
      </c>
      <c r="D25" s="91" t="str">
        <f t="shared" si="2"/>
        <v>Doprinosi za obvezno zdravstveno osiguranje</v>
      </c>
      <c r="E25" s="129" t="s">
        <v>2083</v>
      </c>
      <c r="F25" s="91" t="str">
        <f t="shared" si="3"/>
        <v>RCK PECEPT - REG. CENTAR PROFESIJA U TURIZMU</v>
      </c>
      <c r="G25" s="91" t="str">
        <f t="shared" si="4"/>
        <v>0942</v>
      </c>
      <c r="H25" s="128">
        <v>3350</v>
      </c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>313</v>
      </c>
      <c r="S25" s="86" t="str">
        <f t="shared" si="6"/>
        <v>31</v>
      </c>
      <c r="T25" s="86" t="str">
        <f t="shared" si="7"/>
        <v>94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52</v>
      </c>
      <c r="B26" s="91" t="str">
        <f t="shared" si="1"/>
        <v>Ostale pomoći</v>
      </c>
      <c r="C26" s="96">
        <v>3211</v>
      </c>
      <c r="D26" s="91" t="str">
        <f t="shared" si="2"/>
        <v>Službena putovanja</v>
      </c>
      <c r="E26" s="129" t="s">
        <v>2083</v>
      </c>
      <c r="F26" s="91" t="str">
        <f t="shared" si="3"/>
        <v>RCK PECEPT - REG. CENTAR PROFESIJA U TURIZMU</v>
      </c>
      <c r="G26" s="91" t="str">
        <f t="shared" si="4"/>
        <v>0942</v>
      </c>
      <c r="H26" s="128">
        <v>3990</v>
      </c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>321</v>
      </c>
      <c r="S26" s="86" t="str">
        <f t="shared" si="6"/>
        <v>32</v>
      </c>
      <c r="T26" s="86" t="str">
        <f t="shared" si="7"/>
        <v>94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52</v>
      </c>
      <c r="B27" s="91" t="str">
        <f t="shared" si="1"/>
        <v>Ostale pomoći</v>
      </c>
      <c r="C27" s="96">
        <v>3213</v>
      </c>
      <c r="D27" s="91" t="str">
        <f t="shared" si="2"/>
        <v>Stručno usavršavanje zaposlenika</v>
      </c>
      <c r="E27" s="129" t="s">
        <v>2083</v>
      </c>
      <c r="F27" s="91" t="str">
        <f t="shared" si="3"/>
        <v>RCK PECEPT - REG. CENTAR PROFESIJA U TURIZMU</v>
      </c>
      <c r="G27" s="91" t="str">
        <f t="shared" si="4"/>
        <v>0942</v>
      </c>
      <c r="H27" s="128">
        <v>2650</v>
      </c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>321</v>
      </c>
      <c r="S27" s="86" t="str">
        <f t="shared" si="6"/>
        <v>32</v>
      </c>
      <c r="T27" s="86" t="str">
        <f t="shared" si="7"/>
        <v>94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>
        <v>52</v>
      </c>
      <c r="B28" s="91" t="str">
        <f t="shared" si="1"/>
        <v>Ostale pomoći</v>
      </c>
      <c r="C28" s="96">
        <v>3111</v>
      </c>
      <c r="D28" s="91" t="str">
        <f t="shared" si="2"/>
        <v>Plaće za redovan rad</v>
      </c>
      <c r="E28" s="129" t="s">
        <v>2085</v>
      </c>
      <c r="F28" s="91" t="str">
        <f t="shared" si="3"/>
        <v>RECEZA-REGIONALNI CENTAR ZABOK</v>
      </c>
      <c r="G28" s="91" t="str">
        <f t="shared" si="4"/>
        <v>0942</v>
      </c>
      <c r="H28" s="128">
        <v>28026</v>
      </c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>311</v>
      </c>
      <c r="S28" s="86" t="str">
        <f t="shared" si="6"/>
        <v>31</v>
      </c>
      <c r="T28" s="86" t="str">
        <f t="shared" si="7"/>
        <v>94</v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>
        <v>52</v>
      </c>
      <c r="B29" s="91" t="str">
        <f t="shared" si="1"/>
        <v>Ostale pomoći</v>
      </c>
      <c r="C29" s="96">
        <v>3132</v>
      </c>
      <c r="D29" s="91" t="str">
        <f t="shared" si="2"/>
        <v>Doprinosi za obvezno zdravstveno osiguranje</v>
      </c>
      <c r="E29" s="129" t="s">
        <v>2085</v>
      </c>
      <c r="F29" s="91" t="str">
        <f t="shared" si="3"/>
        <v>RECEZA-REGIONALNI CENTAR ZABOK</v>
      </c>
      <c r="G29" s="91" t="str">
        <f t="shared" si="4"/>
        <v>0942</v>
      </c>
      <c r="H29" s="128">
        <v>4624</v>
      </c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>313</v>
      </c>
      <c r="S29" s="86" t="str">
        <f t="shared" si="6"/>
        <v>31</v>
      </c>
      <c r="T29" s="86" t="str">
        <f t="shared" si="7"/>
        <v>94</v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>
        <v>52</v>
      </c>
      <c r="B30" s="91" t="str">
        <f t="shared" si="1"/>
        <v>Ostale pomoći</v>
      </c>
      <c r="C30" s="96">
        <v>3211</v>
      </c>
      <c r="D30" s="91" t="str">
        <f t="shared" si="2"/>
        <v>Službena putovanja</v>
      </c>
      <c r="E30" s="129" t="s">
        <v>2085</v>
      </c>
      <c r="F30" s="91" t="str">
        <f t="shared" si="3"/>
        <v>RECEZA-REGIONALNI CENTAR ZABOK</v>
      </c>
      <c r="G30" s="91" t="str">
        <f t="shared" si="4"/>
        <v>0942</v>
      </c>
      <c r="H30" s="128">
        <v>2650</v>
      </c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>321</v>
      </c>
      <c r="S30" s="86" t="str">
        <f t="shared" si="6"/>
        <v>32</v>
      </c>
      <c r="T30" s="86" t="str">
        <f t="shared" si="7"/>
        <v>94</v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>
        <v>52</v>
      </c>
      <c r="B31" s="91" t="str">
        <f t="shared" si="1"/>
        <v>Ostale pomoći</v>
      </c>
      <c r="C31" s="96">
        <v>3213</v>
      </c>
      <c r="D31" s="91" t="str">
        <f t="shared" si="2"/>
        <v>Stručno usavršavanje zaposlenika</v>
      </c>
      <c r="E31" s="129" t="s">
        <v>2085</v>
      </c>
      <c r="F31" s="91" t="str">
        <f t="shared" si="3"/>
        <v>RECEZA-REGIONALNI CENTAR ZABOK</v>
      </c>
      <c r="G31" s="91" t="str">
        <f t="shared" si="4"/>
        <v>0942</v>
      </c>
      <c r="H31" s="128">
        <v>2000</v>
      </c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>321</v>
      </c>
      <c r="S31" s="86" t="str">
        <f t="shared" si="6"/>
        <v>32</v>
      </c>
      <c r="T31" s="86" t="str">
        <f t="shared" si="7"/>
        <v>94</v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>
        <v>61</v>
      </c>
      <c r="B32" s="91" t="str">
        <f t="shared" si="1"/>
        <v>Donacije</v>
      </c>
      <c r="C32" s="96">
        <v>3111</v>
      </c>
      <c r="D32" s="91" t="str">
        <f t="shared" si="2"/>
        <v>Plaće za redovan rad</v>
      </c>
      <c r="E32" s="129" t="s">
        <v>2120</v>
      </c>
      <c r="F32" s="91" t="str">
        <f t="shared" si="3"/>
        <v>CEKOM Smart City.4DII</v>
      </c>
      <c r="G32" s="91" t="str">
        <f t="shared" si="4"/>
        <v>0942</v>
      </c>
      <c r="H32" s="128">
        <v>10900</v>
      </c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>311</v>
      </c>
      <c r="S32" s="86" t="str">
        <f t="shared" si="6"/>
        <v>31</v>
      </c>
      <c r="T32" s="86" t="str">
        <f t="shared" si="7"/>
        <v>94</v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>
        <v>61</v>
      </c>
      <c r="B33" s="91" t="str">
        <f t="shared" si="1"/>
        <v>Donacije</v>
      </c>
      <c r="C33" s="96">
        <v>3132</v>
      </c>
      <c r="D33" s="91" t="str">
        <f t="shared" si="2"/>
        <v>Doprinosi za obvezno zdravstveno osiguranje</v>
      </c>
      <c r="E33" s="129" t="s">
        <v>2120</v>
      </c>
      <c r="F33" s="91" t="str">
        <f t="shared" si="3"/>
        <v>CEKOM Smart City.4DII</v>
      </c>
      <c r="G33" s="91" t="str">
        <f t="shared" si="4"/>
        <v>0942</v>
      </c>
      <c r="H33" s="128">
        <v>1800</v>
      </c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>313</v>
      </c>
      <c r="S33" s="86" t="str">
        <f t="shared" si="6"/>
        <v>31</v>
      </c>
      <c r="T33" s="86" t="str">
        <f t="shared" si="7"/>
        <v>94</v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>
        <v>61</v>
      </c>
      <c r="B34" s="91" t="str">
        <f t="shared" si="1"/>
        <v>Donacije</v>
      </c>
      <c r="C34" s="96">
        <v>3211</v>
      </c>
      <c r="D34" s="91" t="str">
        <f t="shared" si="2"/>
        <v>Službena putovanja</v>
      </c>
      <c r="E34" s="129" t="s">
        <v>2120</v>
      </c>
      <c r="F34" s="91" t="str">
        <f t="shared" si="3"/>
        <v>CEKOM Smart City.4DII</v>
      </c>
      <c r="G34" s="91" t="str">
        <f t="shared" si="4"/>
        <v>0942</v>
      </c>
      <c r="H34" s="128">
        <v>200</v>
      </c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>321</v>
      </c>
      <c r="S34" s="86" t="str">
        <f t="shared" si="6"/>
        <v>32</v>
      </c>
      <c r="T34" s="86" t="str">
        <f t="shared" si="7"/>
        <v>94</v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>
        <v>61</v>
      </c>
      <c r="B35" s="91" t="str">
        <f t="shared" si="1"/>
        <v>Donacije</v>
      </c>
      <c r="C35" s="96">
        <v>3237</v>
      </c>
      <c r="D35" s="91" t="str">
        <f t="shared" si="2"/>
        <v>Intelektualne i osobne usluge</v>
      </c>
      <c r="E35" s="129" t="s">
        <v>2120</v>
      </c>
      <c r="F35" s="91" t="str">
        <f t="shared" si="3"/>
        <v>CEKOM Smart City.4DII</v>
      </c>
      <c r="G35" s="91" t="str">
        <f t="shared" si="4"/>
        <v>0942</v>
      </c>
      <c r="H35" s="128">
        <v>1330</v>
      </c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>323</v>
      </c>
      <c r="S35" s="86" t="str">
        <f t="shared" si="6"/>
        <v>32</v>
      </c>
      <c r="T35" s="86" t="str">
        <f t="shared" si="7"/>
        <v>94</v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>
        <v>51</v>
      </c>
      <c r="B37" s="91" t="str">
        <f t="shared" si="1"/>
        <v>Pomoći EU</v>
      </c>
      <c r="C37" s="96">
        <v>3299</v>
      </c>
      <c r="D37" s="91" t="str">
        <f t="shared" si="2"/>
        <v>Ostali nespomenuti rashodi poslovanja</v>
      </c>
      <c r="E37" s="129" t="s">
        <v>699</v>
      </c>
      <c r="F37" s="91" t="str">
        <f t="shared" si="3"/>
        <v>NOVI PODPROJEKT</v>
      </c>
      <c r="G37" s="91" t="str">
        <f t="shared" si="4"/>
        <v>NOVI PODPROJEKT</v>
      </c>
      <c r="H37" s="128">
        <v>20000</v>
      </c>
      <c r="I37" s="128"/>
      <c r="J37" s="128">
        <v>7000</v>
      </c>
      <c r="K37" s="143" t="s">
        <v>5281</v>
      </c>
      <c r="L37" s="142"/>
      <c r="M37" s="142"/>
      <c r="N37" s="143" t="s">
        <v>5284</v>
      </c>
      <c r="O37" s="322"/>
      <c r="P37" s="95"/>
      <c r="R37" s="86" t="str">
        <f t="shared" si="5"/>
        <v>329</v>
      </c>
      <c r="S37" s="86" t="str">
        <f t="shared" si="6"/>
        <v>32</v>
      </c>
      <c r="T37" s="86" t="str">
        <f t="shared" si="7"/>
        <v>OV</v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>
        <v>52</v>
      </c>
      <c r="B39" s="91" t="str">
        <f t="shared" si="1"/>
        <v>Ostale pomoći</v>
      </c>
      <c r="C39" s="96">
        <v>3611</v>
      </c>
      <c r="D39" s="91" t="str">
        <f t="shared" si="2"/>
        <v>Tekuće pomoći inozemnim vladama</v>
      </c>
      <c r="E39" s="129" t="s">
        <v>2087</v>
      </c>
      <c r="F39" s="91" t="str">
        <f t="shared" si="3"/>
        <v>ERASMUS+ CAMPMASTER, SVEUČILIŠTE U RIJECI</v>
      </c>
      <c r="G39" s="91" t="str">
        <f t="shared" si="4"/>
        <v>0942</v>
      </c>
      <c r="H39" s="128">
        <f>7729+5603+4720+4969</f>
        <v>23021</v>
      </c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>361</v>
      </c>
      <c r="S39" s="86" t="str">
        <f t="shared" si="6"/>
        <v>36</v>
      </c>
      <c r="T39" s="86" t="str">
        <f t="shared" si="7"/>
        <v>94</v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>
        <v>52</v>
      </c>
      <c r="B40" s="91" t="str">
        <f t="shared" si="1"/>
        <v>Ostale pomoći</v>
      </c>
      <c r="C40" s="96">
        <v>3531</v>
      </c>
      <c r="D40" s="91" t="str">
        <f t="shared" si="2"/>
        <v>Subvencije trgovačkim društvima, zadrugama, poljoprivrednici</v>
      </c>
      <c r="E40" s="129" t="s">
        <v>2087</v>
      </c>
      <c r="F40" s="91" t="str">
        <f t="shared" si="3"/>
        <v>ERASMUS+ CAMPMASTER, SVEUČILIŠTE U RIJECI</v>
      </c>
      <c r="G40" s="91" t="str">
        <f t="shared" si="4"/>
        <v>0942</v>
      </c>
      <c r="H40" s="128">
        <v>2655</v>
      </c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>353</v>
      </c>
      <c r="S40" s="86" t="str">
        <f t="shared" si="6"/>
        <v>35</v>
      </c>
      <c r="T40" s="86" t="str">
        <f t="shared" si="7"/>
        <v>94</v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353"/>
      <c r="M477" s="353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353"/>
      <c r="M482" s="353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353"/>
      <c r="M488" s="353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39" fitToHeight="0" orientation="landscape" horizontalDpi="4294967295" verticalDpi="4294967295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topLeftCell="A7" zoomScale="80" zoomScaleNormal="80" workbookViewId="0">
      <selection activeCell="E28" sqref="E28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</row>
    <row r="2" spans="1:29" ht="21" customHeight="1">
      <c r="B2" s="368" t="s">
        <v>5265</v>
      </c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1250500</v>
      </c>
      <c r="E5" s="3">
        <v>0</v>
      </c>
      <c r="F5" s="3"/>
      <c r="G5" s="3">
        <v>13000</v>
      </c>
      <c r="H5" s="3"/>
      <c r="I5" s="3">
        <v>1150000</v>
      </c>
      <c r="J5" s="3">
        <v>75000</v>
      </c>
      <c r="K5" s="3">
        <v>12500</v>
      </c>
      <c r="L5" s="3"/>
      <c r="M5" s="3"/>
      <c r="N5" s="3"/>
      <c r="O5" s="3"/>
      <c r="P5" s="3"/>
      <c r="Q5" s="3"/>
      <c r="R5" s="3"/>
      <c r="S5" s="3"/>
      <c r="T5" s="3">
        <v>0</v>
      </c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4907676</v>
      </c>
      <c r="E6" s="12">
        <f>+'A.1 PRIHODI'!E8</f>
        <v>3258688</v>
      </c>
      <c r="F6" s="12">
        <f>+'A.1 PRIHODI'!F8</f>
        <v>0</v>
      </c>
      <c r="G6" s="12">
        <f>+'A.1 PRIHODI'!G8</f>
        <v>252005</v>
      </c>
      <c r="H6" s="12">
        <f>+'A.1 PRIHODI'!H8</f>
        <v>0</v>
      </c>
      <c r="I6" s="12">
        <f>+'A.1 PRIHODI'!I8+'B. RAČUN FIN'!I6</f>
        <v>1115015</v>
      </c>
      <c r="J6" s="12">
        <f>+'A.1 PRIHODI'!J8</f>
        <v>142000</v>
      </c>
      <c r="K6" s="12">
        <f>+'A.1 PRIHODI'!K8</f>
        <v>123168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14800</v>
      </c>
      <c r="U6" s="12">
        <f>+'A.1 PRIHODI'!U8</f>
        <v>0</v>
      </c>
      <c r="V6" s="12">
        <f>+'A.1 PRIHODI'!V8</f>
        <v>2000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-1291990</v>
      </c>
      <c r="E7" s="197"/>
      <c r="F7" s="197"/>
      <c r="G7" s="197">
        <v>-20055</v>
      </c>
      <c r="H7" s="197"/>
      <c r="I7" s="197">
        <v>-1193223</v>
      </c>
      <c r="J7" s="197">
        <v>-55290</v>
      </c>
      <c r="K7" s="197">
        <v>-22422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>
        <v>-1000</v>
      </c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4866186</v>
      </c>
      <c r="E8" s="12">
        <f>+E5+E6+E7</f>
        <v>3258688</v>
      </c>
      <c r="F8" s="12">
        <f t="shared" ref="F8:W8" si="1">+F5+F6+F7</f>
        <v>0</v>
      </c>
      <c r="G8" s="12">
        <f t="shared" si="1"/>
        <v>244950</v>
      </c>
      <c r="H8" s="12">
        <f t="shared" si="1"/>
        <v>0</v>
      </c>
      <c r="I8" s="12">
        <f t="shared" si="1"/>
        <v>1071792</v>
      </c>
      <c r="J8" s="12">
        <f t="shared" si="1"/>
        <v>161710</v>
      </c>
      <c r="K8" s="12">
        <f t="shared" si="1"/>
        <v>113246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14800</v>
      </c>
      <c r="U8" s="12">
        <f t="shared" si="1"/>
        <v>0</v>
      </c>
      <c r="V8" s="12">
        <f t="shared" si="1"/>
        <v>1000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4866186</v>
      </c>
      <c r="E9" s="82">
        <f>+'A.2 RASHODI'!E4+'B. RAČUN FIN'!E11</f>
        <v>3258688</v>
      </c>
      <c r="F9" s="82">
        <f>+'A.2 RASHODI'!F4+'B. RAČUN FIN'!F11</f>
        <v>0</v>
      </c>
      <c r="G9" s="82">
        <f>+'A.2 RASHODI'!G4+'B. RAČUN FIN'!G11</f>
        <v>244950</v>
      </c>
      <c r="H9" s="82">
        <f>+'A.2 RASHODI'!H4+'B. RAČUN FIN'!H11</f>
        <v>0</v>
      </c>
      <c r="I9" s="82">
        <f>+'A.2 RASHODI'!I4+'B. RAČUN FIN'!I11</f>
        <v>1071792</v>
      </c>
      <c r="J9" s="82">
        <f>+'A.2 RASHODI'!J4+'B. RAČUN FIN'!J11</f>
        <v>161710</v>
      </c>
      <c r="K9" s="82">
        <f>+'A.2 RASHODI'!K4+'B. RAČUN FIN'!K11</f>
        <v>113246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14800</v>
      </c>
      <c r="U9" s="82">
        <f>+'A.2 RASHODI'!U4+'B. RAČUN FIN'!U11</f>
        <v>0</v>
      </c>
      <c r="V9" s="82">
        <f>+'A.2 RASHODI'!V4+'B. RAČUN FIN'!V11</f>
        <v>1000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1291990</v>
      </c>
      <c r="E13" s="131">
        <f t="shared" ref="E13:W13" si="4">-E7</f>
        <v>0</v>
      </c>
      <c r="F13" s="131">
        <f t="shared" si="4"/>
        <v>0</v>
      </c>
      <c r="G13" s="131">
        <f t="shared" si="4"/>
        <v>20055</v>
      </c>
      <c r="H13" s="131">
        <f t="shared" si="4"/>
        <v>0</v>
      </c>
      <c r="I13" s="131">
        <f t="shared" si="4"/>
        <v>1193223</v>
      </c>
      <c r="J13" s="131">
        <f t="shared" si="4"/>
        <v>55290</v>
      </c>
      <c r="K13" s="131">
        <f t="shared" si="4"/>
        <v>22422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1000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4723138</v>
      </c>
      <c r="E14" s="12">
        <f>+'A.1 PRIHODI'!E22</f>
        <v>3258688</v>
      </c>
      <c r="F14" s="12">
        <f>+'A.1 PRIHODI'!F22</f>
        <v>0</v>
      </c>
      <c r="G14" s="12">
        <f>+'A.1 PRIHODI'!G22</f>
        <v>252005</v>
      </c>
      <c r="H14" s="12">
        <f>+'A.1 PRIHODI'!H22</f>
        <v>0</v>
      </c>
      <c r="I14" s="12">
        <f>+'A.1 PRIHODI'!I22+'B. RAČUN FIN'!I17</f>
        <v>1130015</v>
      </c>
      <c r="J14" s="12">
        <f>+'A.1 PRIHODI'!J22</f>
        <v>58000</v>
      </c>
      <c r="K14" s="12">
        <f>+'A.1 PRIHODI'!K22</f>
        <v>22430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2000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-1335885</v>
      </c>
      <c r="E15" s="65"/>
      <c r="F15" s="65"/>
      <c r="G15" s="65">
        <v>-24360</v>
      </c>
      <c r="H15" s="65"/>
      <c r="I15" s="65">
        <v>-1285583</v>
      </c>
      <c r="J15" s="65">
        <v>-6090</v>
      </c>
      <c r="K15" s="65">
        <v>-18852</v>
      </c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>
        <v>-1000</v>
      </c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4679243</v>
      </c>
      <c r="E16" s="12">
        <f>+E13+E14+E15</f>
        <v>3258688</v>
      </c>
      <c r="F16" s="12">
        <f t="shared" ref="F16:W16" si="5">+F13+F14+F15</f>
        <v>0</v>
      </c>
      <c r="G16" s="12">
        <f t="shared" si="5"/>
        <v>247700</v>
      </c>
      <c r="H16" s="12">
        <f t="shared" si="5"/>
        <v>0</v>
      </c>
      <c r="I16" s="12">
        <f t="shared" si="5"/>
        <v>1037655</v>
      </c>
      <c r="J16" s="12">
        <f t="shared" si="5"/>
        <v>107200</v>
      </c>
      <c r="K16" s="12">
        <f t="shared" si="5"/>
        <v>26000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2000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4679243</v>
      </c>
      <c r="E17" s="82">
        <f>+'A.2 RASHODI'!E21+'B. RAČUN FIN'!E22</f>
        <v>3258688</v>
      </c>
      <c r="F17" s="82">
        <f>+'A.2 RASHODI'!F21+'B. RAČUN FIN'!F22</f>
        <v>0</v>
      </c>
      <c r="G17" s="82">
        <f>+'A.2 RASHODI'!G21+'B. RAČUN FIN'!G22</f>
        <v>247700</v>
      </c>
      <c r="H17" s="82">
        <f>+'A.2 RASHODI'!H21+'B. RAČUN FIN'!H22</f>
        <v>0</v>
      </c>
      <c r="I17" s="82">
        <f>+'A.2 RASHODI'!I21+'B. RAČUN FIN'!I22</f>
        <v>1037655</v>
      </c>
      <c r="J17" s="82">
        <f>+'A.2 RASHODI'!J21+'B. RAČUN FIN'!J22</f>
        <v>107200</v>
      </c>
      <c r="K17" s="82">
        <f>+'A.2 RASHODI'!K21+'B. RAČUN FIN'!K22</f>
        <v>26000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2000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1335885</v>
      </c>
      <c r="E21" s="131">
        <f t="shared" ref="E21:W21" si="8">-E15</f>
        <v>0</v>
      </c>
      <c r="F21" s="131">
        <f t="shared" si="8"/>
        <v>0</v>
      </c>
      <c r="G21" s="131">
        <f t="shared" si="8"/>
        <v>24360</v>
      </c>
      <c r="H21" s="131">
        <f t="shared" si="8"/>
        <v>0</v>
      </c>
      <c r="I21" s="131">
        <f t="shared" si="8"/>
        <v>1285583</v>
      </c>
      <c r="J21" s="131">
        <f t="shared" si="8"/>
        <v>6090</v>
      </c>
      <c r="K21" s="131">
        <f t="shared" si="8"/>
        <v>18852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1000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4785138</v>
      </c>
      <c r="E22" s="12">
        <f>+'A.1 PRIHODI'!E36</f>
        <v>3258688</v>
      </c>
      <c r="F22" s="12">
        <f>+'A.1 PRIHODI'!F36</f>
        <v>0</v>
      </c>
      <c r="G22" s="12">
        <f>+'A.1 PRIHODI'!G36</f>
        <v>267005</v>
      </c>
      <c r="H22" s="12">
        <f>+'A.1 PRIHODI'!H36</f>
        <v>0</v>
      </c>
      <c r="I22" s="12">
        <f>+'A.1 PRIHODI'!I36+'B. RAČUN FIN'!I28</f>
        <v>1155015</v>
      </c>
      <c r="J22" s="12">
        <f>+'A.1 PRIHODI'!J36</f>
        <v>80000</v>
      </c>
      <c r="K22" s="12">
        <f>+'A.1 PRIHODI'!K36</f>
        <v>22430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2000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-1383135</v>
      </c>
      <c r="E23" s="65"/>
      <c r="F23" s="65"/>
      <c r="G23" s="65">
        <v>-32085</v>
      </c>
      <c r="H23" s="65"/>
      <c r="I23" s="65">
        <v>-1331888</v>
      </c>
      <c r="J23" s="65">
        <v>-880</v>
      </c>
      <c r="K23" s="65">
        <v>-17282</v>
      </c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>
        <v>-1000</v>
      </c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4737888</v>
      </c>
      <c r="E24" s="12">
        <f>+E21+E22+E23</f>
        <v>3258688</v>
      </c>
      <c r="F24" s="12">
        <f t="shared" ref="F24:W24" si="9">+F21+F22+F23</f>
        <v>0</v>
      </c>
      <c r="G24" s="12">
        <f t="shared" si="9"/>
        <v>259280</v>
      </c>
      <c r="H24" s="12">
        <f t="shared" si="9"/>
        <v>0</v>
      </c>
      <c r="I24" s="12">
        <f t="shared" si="9"/>
        <v>1108710</v>
      </c>
      <c r="J24" s="12">
        <f t="shared" si="9"/>
        <v>85210</v>
      </c>
      <c r="K24" s="12">
        <f t="shared" si="9"/>
        <v>24000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2000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4737888</v>
      </c>
      <c r="E25" s="82">
        <f>+'A.2 RASHODI'!E38+'B. RAČUN FIN'!E33</f>
        <v>3258688</v>
      </c>
      <c r="F25" s="82">
        <f>+'A.2 RASHODI'!F38+'B. RAČUN FIN'!F33</f>
        <v>0</v>
      </c>
      <c r="G25" s="82">
        <f>+'A.2 RASHODI'!G38+'B. RAČUN FIN'!G33</f>
        <v>259280</v>
      </c>
      <c r="H25" s="82">
        <f>+'A.2 RASHODI'!H38+'B. RAČUN FIN'!H33</f>
        <v>0</v>
      </c>
      <c r="I25" s="82">
        <f>+'A.2 RASHODI'!I38+'B. RAČUN FIN'!I33</f>
        <v>1108710</v>
      </c>
      <c r="J25" s="82">
        <f>+'A.2 RASHODI'!J38+'B. RAČUN FIN'!J33</f>
        <v>85210</v>
      </c>
      <c r="K25" s="82">
        <f>+'A.2 RASHODI'!K38+'B. RAČUN FIN'!K33</f>
        <v>24000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2000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90" zoomScaleNormal="90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8" t="s">
        <v>5087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</row>
    <row r="2" spans="1:22" ht="15.6" customHeight="1"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</row>
    <row r="3" spans="1:22" ht="15.6" customHeight="1">
      <c r="B3" s="368" t="s">
        <v>5088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</row>
    <row r="4" spans="1:22" ht="15.6" customHeight="1"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</row>
    <row r="5" spans="1:22" ht="15.6" customHeight="1">
      <c r="B5" s="368" t="s">
        <v>5112</v>
      </c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4907676</v>
      </c>
      <c r="E8" s="69">
        <f>+E19+E16</f>
        <v>3258688</v>
      </c>
      <c r="F8" s="69">
        <f>+F19+F16</f>
        <v>0</v>
      </c>
      <c r="G8" s="69">
        <f>+G19+G16</f>
        <v>252005</v>
      </c>
      <c r="H8" s="69">
        <f t="shared" ref="H8:V8" si="0">+H19+H16</f>
        <v>0</v>
      </c>
      <c r="I8" s="69">
        <f t="shared" si="0"/>
        <v>1115015</v>
      </c>
      <c r="J8" s="69">
        <f>+J19+J16</f>
        <v>142000</v>
      </c>
      <c r="K8" s="69">
        <f t="shared" si="0"/>
        <v>123168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14800</v>
      </c>
      <c r="U8" s="69">
        <f t="shared" si="0"/>
        <v>0</v>
      </c>
      <c r="V8" s="69">
        <f t="shared" si="0"/>
        <v>2000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265168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142000</v>
      </c>
      <c r="K10" s="132">
        <f>SUMIFS('Unos prihoda i primitaka'!$G$3:$G$501,'Unos prihoda i primitaka'!$C$3:$C$501,"=52",'Unos prihoda i primitaka'!$L$3:$L$501,"=63")</f>
        <v>123168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15020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15005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15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1115000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1115000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251800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237000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14800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3258688</v>
      </c>
      <c r="E14" s="132">
        <f>SUMIFS('Unos prihoda i primitaka'!$G$3:$G$501,'Unos prihoda i primitaka'!$C$3:$C$501,"=11",'Unos prihoda i primitaka'!$L$3:$L$501,"=67")</f>
        <v>3258688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4905676</v>
      </c>
      <c r="E16" s="4">
        <f t="shared" ref="E16:V16" si="2">SUM(E9:E15)</f>
        <v>3258688</v>
      </c>
      <c r="F16" s="4">
        <f t="shared" si="2"/>
        <v>0</v>
      </c>
      <c r="G16" s="4">
        <f t="shared" si="2"/>
        <v>252005</v>
      </c>
      <c r="H16" s="4">
        <f t="shared" si="2"/>
        <v>0</v>
      </c>
      <c r="I16" s="4">
        <f t="shared" si="2"/>
        <v>1115015</v>
      </c>
      <c r="J16" s="4">
        <f t="shared" si="2"/>
        <v>142000</v>
      </c>
      <c r="K16" s="4">
        <f t="shared" si="2"/>
        <v>123168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14800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2000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2000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2000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2000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4723138</v>
      </c>
      <c r="E22" s="69">
        <f t="shared" ref="E22:V22" si="4">+E33+E30</f>
        <v>3258688</v>
      </c>
      <c r="F22" s="69">
        <f t="shared" si="4"/>
        <v>0</v>
      </c>
      <c r="G22" s="69">
        <f t="shared" si="4"/>
        <v>252005</v>
      </c>
      <c r="H22" s="69">
        <f t="shared" si="4"/>
        <v>0</v>
      </c>
      <c r="I22" s="69">
        <f t="shared" si="4"/>
        <v>1130015</v>
      </c>
      <c r="J22" s="69">
        <f t="shared" si="4"/>
        <v>58000</v>
      </c>
      <c r="K22" s="69">
        <f t="shared" si="4"/>
        <v>22430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2000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80430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58000</v>
      </c>
      <c r="K24" s="132">
        <f>SUMIFS('Unos prihoda i primitaka'!$H$3:$H$501,'Unos prihoda i primitaka'!$C$3:$C$501,"=52",'Unos prihoda i primitaka'!$L$3:$L$501,"=63")</f>
        <v>22430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10020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10005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15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1130000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1130000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242000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242000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3258688</v>
      </c>
      <c r="E28" s="132">
        <f>SUMIFS('Unos prihoda i primitaka'!$H$3:$H$501,'Unos prihoda i primitaka'!$C$3:$C$501,"=11",'Unos prihoda i primitaka'!$L$3:$L$501,"=67")</f>
        <v>3258688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4721138</v>
      </c>
      <c r="E30" s="4">
        <f t="shared" ref="E30:V30" si="6">SUM(E23:E29)</f>
        <v>3258688</v>
      </c>
      <c r="F30" s="4">
        <f t="shared" si="6"/>
        <v>0</v>
      </c>
      <c r="G30" s="4">
        <f t="shared" si="6"/>
        <v>252005</v>
      </c>
      <c r="H30" s="4">
        <f t="shared" si="6"/>
        <v>0</v>
      </c>
      <c r="I30" s="4">
        <f t="shared" si="6"/>
        <v>1130015</v>
      </c>
      <c r="J30" s="4">
        <f t="shared" si="6"/>
        <v>58000</v>
      </c>
      <c r="K30" s="4">
        <f t="shared" si="6"/>
        <v>22430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2000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2000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2000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2000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4785138</v>
      </c>
      <c r="E36" s="69">
        <f t="shared" ref="E36:V36" si="9">+E47+E44</f>
        <v>3258688</v>
      </c>
      <c r="F36" s="69">
        <f t="shared" si="9"/>
        <v>0</v>
      </c>
      <c r="G36" s="69">
        <f t="shared" si="9"/>
        <v>267005</v>
      </c>
      <c r="H36" s="69">
        <f t="shared" si="9"/>
        <v>0</v>
      </c>
      <c r="I36" s="69">
        <f t="shared" si="9"/>
        <v>1155015</v>
      </c>
      <c r="J36" s="69">
        <f t="shared" si="9"/>
        <v>80000</v>
      </c>
      <c r="K36" s="69">
        <f t="shared" si="9"/>
        <v>22430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2000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102430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80000</v>
      </c>
      <c r="K38" s="132">
        <f>SUMIFS('Unos prihoda i primitaka'!$I$3:$I$501,'Unos prihoda i primitaka'!$C$3:$C$501,"=52",'Unos prihoda i primitaka'!$L$3:$L$501,"=63")</f>
        <v>22430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10020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10005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15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1155000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1155000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257000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257000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3258688</v>
      </c>
      <c r="E42" s="132">
        <f>SUMIFS('Unos prihoda i primitaka'!$I$3:$I$501,'Unos prihoda i primitaka'!$C$3:$C$501,"=11",'Unos prihoda i primitaka'!$L$3:$L$501,"=67")</f>
        <v>3258688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4783138</v>
      </c>
      <c r="E44" s="4">
        <f t="shared" ref="E44:V44" si="10">SUM(E37:E43)</f>
        <v>3258688</v>
      </c>
      <c r="F44" s="4">
        <f t="shared" si="10"/>
        <v>0</v>
      </c>
      <c r="G44" s="4">
        <f t="shared" si="10"/>
        <v>267005</v>
      </c>
      <c r="H44" s="4">
        <f t="shared" si="10"/>
        <v>0</v>
      </c>
      <c r="I44" s="4">
        <f t="shared" si="10"/>
        <v>1155015</v>
      </c>
      <c r="J44" s="4">
        <f t="shared" si="10"/>
        <v>80000</v>
      </c>
      <c r="K44" s="4">
        <f t="shared" si="10"/>
        <v>22430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2000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2000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2000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2000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horizontalDpi="4294967295" verticalDpi="4294967295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zoomScale="90" zoomScaleNormal="90" zoomScaleSheetLayoutView="80" workbookViewId="0">
      <pane xSplit="1" ySplit="1" topLeftCell="B23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8" t="s">
        <v>5114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4866186</v>
      </c>
      <c r="E4" s="70">
        <f>E5+E13</f>
        <v>3258688</v>
      </c>
      <c r="F4" s="70">
        <f t="shared" ref="F4:W4" si="0">F5+F13</f>
        <v>0</v>
      </c>
      <c r="G4" s="70">
        <f t="shared" si="0"/>
        <v>244950</v>
      </c>
      <c r="H4" s="70">
        <f t="shared" si="0"/>
        <v>0</v>
      </c>
      <c r="I4" s="70">
        <f t="shared" si="0"/>
        <v>1071792</v>
      </c>
      <c r="J4" s="70">
        <f t="shared" si="0"/>
        <v>161710</v>
      </c>
      <c r="K4" s="70">
        <f>K5+K13</f>
        <v>113246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14800</v>
      </c>
      <c r="U4" s="70">
        <f t="shared" si="0"/>
        <v>0</v>
      </c>
      <c r="V4" s="70">
        <f t="shared" si="0"/>
        <v>1000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4769929</v>
      </c>
      <c r="E5" s="78">
        <f t="shared" ref="E5:G5" si="2">SUM(E6:E12)</f>
        <v>3231031</v>
      </c>
      <c r="F5" s="78">
        <f t="shared" si="2"/>
        <v>0</v>
      </c>
      <c r="G5" s="78">
        <f t="shared" si="2"/>
        <v>243450</v>
      </c>
      <c r="H5" s="78">
        <f>SUM(H6:H12)</f>
        <v>0</v>
      </c>
      <c r="I5" s="78">
        <f t="shared" ref="I5:K5" si="3">SUM(I6:I12)</f>
        <v>1004692</v>
      </c>
      <c r="J5" s="78">
        <f t="shared" si="3"/>
        <v>161710</v>
      </c>
      <c r="K5" s="78">
        <f t="shared" si="3"/>
        <v>113246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14800</v>
      </c>
      <c r="U5" s="78">
        <f t="shared" si="5"/>
        <v>0</v>
      </c>
      <c r="V5" s="78">
        <f t="shared" si="5"/>
        <v>1000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3785446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2913976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36450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660950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105090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56280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12700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911993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314867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199000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307116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56620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31290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2100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1000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3614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2188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100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1326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2655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2655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61921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7900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31000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23021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2300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2300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2000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2000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96257</v>
      </c>
      <c r="E13" s="79">
        <f t="shared" ref="E13:G13" si="6">SUM(E14:E18)</f>
        <v>27657</v>
      </c>
      <c r="F13" s="79">
        <f t="shared" si="6"/>
        <v>0</v>
      </c>
      <c r="G13" s="79">
        <f t="shared" si="6"/>
        <v>1500</v>
      </c>
      <c r="H13" s="79">
        <f>SUM(H14:H18)</f>
        <v>0</v>
      </c>
      <c r="I13" s="79">
        <f t="shared" ref="I13:K13" si="7">SUM(I14:I18)</f>
        <v>67100</v>
      </c>
      <c r="J13" s="79">
        <f t="shared" si="7"/>
        <v>0</v>
      </c>
      <c r="K13" s="79">
        <f t="shared" si="7"/>
        <v>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96257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27657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1500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67100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4679243</v>
      </c>
      <c r="E21" s="70">
        <f>+E22+E30</f>
        <v>3258688</v>
      </c>
      <c r="F21" s="70">
        <f t="shared" ref="F21:W21" si="11">+F22+F30</f>
        <v>0</v>
      </c>
      <c r="G21" s="70">
        <f t="shared" si="11"/>
        <v>247700</v>
      </c>
      <c r="H21" s="70">
        <f t="shared" si="11"/>
        <v>0</v>
      </c>
      <c r="I21" s="70">
        <f t="shared" si="11"/>
        <v>1037655</v>
      </c>
      <c r="J21" s="70">
        <f t="shared" si="11"/>
        <v>107200</v>
      </c>
      <c r="K21" s="70">
        <f t="shared" si="11"/>
        <v>26000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2000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4608986</v>
      </c>
      <c r="E22" s="78">
        <f t="shared" ref="E22:W22" si="12">SUM(E23:E29)</f>
        <v>3231031</v>
      </c>
      <c r="F22" s="78">
        <f t="shared" si="12"/>
        <v>0</v>
      </c>
      <c r="G22" s="78">
        <f t="shared" si="12"/>
        <v>246200</v>
      </c>
      <c r="H22" s="78">
        <f>SUM(H23:H29)</f>
        <v>0</v>
      </c>
      <c r="I22" s="78">
        <f t="shared" si="12"/>
        <v>996555</v>
      </c>
      <c r="J22" s="78">
        <f t="shared" si="12"/>
        <v>107200</v>
      </c>
      <c r="K22" s="78">
        <f t="shared" si="12"/>
        <v>26000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2000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3692431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2913976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36450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666775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75230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868287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314867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201600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291850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31970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26000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2000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3768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2188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150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1430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39500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8000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31500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2500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2500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2500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2500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70257</v>
      </c>
      <c r="E30" s="79">
        <f t="shared" ref="E30:G30" si="13">SUM(E31:E35)</f>
        <v>27657</v>
      </c>
      <c r="F30" s="79">
        <f t="shared" si="13"/>
        <v>0</v>
      </c>
      <c r="G30" s="79">
        <f t="shared" si="13"/>
        <v>1500</v>
      </c>
      <c r="H30" s="79">
        <f>SUM(H31:H35)</f>
        <v>0</v>
      </c>
      <c r="I30" s="79">
        <f t="shared" ref="I30:K30" si="14">SUM(I31:I35)</f>
        <v>41100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70257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27657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1500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41100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4737888</v>
      </c>
      <c r="E38" s="70">
        <f>E39+E47</f>
        <v>3258688</v>
      </c>
      <c r="F38" s="70">
        <f t="shared" ref="F38:W38" si="18">F39+F47</f>
        <v>0</v>
      </c>
      <c r="G38" s="70">
        <f t="shared" si="18"/>
        <v>259280</v>
      </c>
      <c r="H38" s="70">
        <f t="shared" si="18"/>
        <v>0</v>
      </c>
      <c r="I38" s="70">
        <f t="shared" si="18"/>
        <v>1108710</v>
      </c>
      <c r="J38" s="70">
        <f t="shared" si="18"/>
        <v>85210</v>
      </c>
      <c r="K38" s="70">
        <f t="shared" si="18"/>
        <v>24000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2000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4677031</v>
      </c>
      <c r="E39" s="78">
        <f t="shared" ref="E39:G39" si="19">SUM(E40:E46)</f>
        <v>3231031</v>
      </c>
      <c r="F39" s="78">
        <f t="shared" si="19"/>
        <v>0</v>
      </c>
      <c r="G39" s="78">
        <f t="shared" si="19"/>
        <v>257780</v>
      </c>
      <c r="H39" s="78">
        <f>SUM(H40:H46)</f>
        <v>0</v>
      </c>
      <c r="I39" s="78">
        <f t="shared" ref="I39:K39" si="20">SUM(I40:I46)</f>
        <v>1077010</v>
      </c>
      <c r="J39" s="78">
        <f t="shared" si="20"/>
        <v>85210</v>
      </c>
      <c r="K39" s="78">
        <f t="shared" si="20"/>
        <v>24000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2000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3735366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2913976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38780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727550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55060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891547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314867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210300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310230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30150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24000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2000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3918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2188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200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1530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40500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8500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32000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2700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2700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3000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3000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60857</v>
      </c>
      <c r="E47" s="79">
        <f t="shared" ref="E47:G47" si="23">SUM(E48:E52)</f>
        <v>27657</v>
      </c>
      <c r="F47" s="79">
        <f t="shared" si="23"/>
        <v>0</v>
      </c>
      <c r="G47" s="79">
        <f t="shared" si="23"/>
        <v>1500</v>
      </c>
      <c r="H47" s="79">
        <f>SUM(H48:H52)</f>
        <v>0</v>
      </c>
      <c r="I47" s="79">
        <f t="shared" ref="I47:K47" si="24">SUM(I48:I52)</f>
        <v>31700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60857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27657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1500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31700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4294967295" verticalDpi="4294967295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G8" sqref="G8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8" t="s">
        <v>5116</v>
      </c>
      <c r="B1" s="368"/>
      <c r="C1" s="368"/>
      <c r="D1" s="368"/>
      <c r="E1" s="368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4866186</v>
      </c>
      <c r="D5" s="339">
        <f t="shared" ref="D5:E5" si="0">+D6+D9+D11+D14+D25+D28+D30</f>
        <v>4679243</v>
      </c>
      <c r="E5" s="339">
        <f t="shared" si="0"/>
        <v>4730678</v>
      </c>
    </row>
    <row r="6" spans="1:193">
      <c r="A6" s="312">
        <v>1</v>
      </c>
      <c r="B6" s="67" t="s">
        <v>5131</v>
      </c>
      <c r="C6" s="338">
        <f>+C7+C8</f>
        <v>3258688</v>
      </c>
      <c r="D6" s="338">
        <f t="shared" ref="D6:E6" si="1">+D7+D8</f>
        <v>3258688</v>
      </c>
      <c r="E6" s="338">
        <f t="shared" si="1"/>
        <v>3258688</v>
      </c>
    </row>
    <row r="7" spans="1:193">
      <c r="A7" s="309">
        <v>11</v>
      </c>
      <c r="B7" s="48" t="s">
        <v>5118</v>
      </c>
      <c r="C7" s="337">
        <f>+'A.2 RASHODI'!E4</f>
        <v>3258688</v>
      </c>
      <c r="D7" s="337">
        <f>+'A.2 RASHODI'!E21</f>
        <v>3258688</v>
      </c>
      <c r="E7" s="337">
        <f>+'A.2 RASHODI'!E38</f>
        <v>3258688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244950</v>
      </c>
      <c r="D9" s="338">
        <f t="shared" ref="D9:E9" si="2">+D10</f>
        <v>247700</v>
      </c>
      <c r="E9" s="338">
        <f t="shared" si="2"/>
        <v>259280</v>
      </c>
    </row>
    <row r="10" spans="1:193">
      <c r="A10" s="309">
        <v>31</v>
      </c>
      <c r="B10" s="48" t="s">
        <v>5119</v>
      </c>
      <c r="C10" s="337">
        <f>+'A.2 RASHODI'!G4</f>
        <v>244950</v>
      </c>
      <c r="D10" s="337">
        <f>+'A.2 RASHODI'!G21</f>
        <v>247700</v>
      </c>
      <c r="E10" s="337">
        <f>+'A.2 RASHODI'!G38</f>
        <v>259280</v>
      </c>
    </row>
    <row r="11" spans="1:193">
      <c r="A11" s="312">
        <v>4</v>
      </c>
      <c r="B11" s="67" t="s">
        <v>5133</v>
      </c>
      <c r="C11" s="338">
        <f>+C12+C13</f>
        <v>1071792</v>
      </c>
      <c r="D11" s="338">
        <f t="shared" ref="D11:E11" si="3">+D12+D13</f>
        <v>1037655</v>
      </c>
      <c r="E11" s="338">
        <f t="shared" si="3"/>
        <v>1108710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1071792</v>
      </c>
      <c r="D13" s="337">
        <f>+'A.2 RASHODI'!I21</f>
        <v>1037655</v>
      </c>
      <c r="E13" s="337">
        <f>+'A.2 RASHODI'!I38</f>
        <v>1108710</v>
      </c>
    </row>
    <row r="14" spans="1:193">
      <c r="A14" s="312">
        <v>5</v>
      </c>
      <c r="B14" s="67" t="s">
        <v>5134</v>
      </c>
      <c r="C14" s="338">
        <f>SUM(C15:C24)</f>
        <v>274956</v>
      </c>
      <c r="D14" s="338">
        <f t="shared" ref="D14:E14" si="4">SUM(D15:D24)</f>
        <v>133200</v>
      </c>
      <c r="E14" s="338">
        <f t="shared" si="4"/>
        <v>104000</v>
      </c>
    </row>
    <row r="15" spans="1:193">
      <c r="A15" s="309">
        <v>51</v>
      </c>
      <c r="B15" s="48" t="s">
        <v>5122</v>
      </c>
      <c r="C15" s="337">
        <f>+'A.2 RASHODI'!J4</f>
        <v>161710</v>
      </c>
      <c r="D15" s="337">
        <f>+'A.2 RASHODI'!J21</f>
        <v>107200</v>
      </c>
      <c r="E15" s="337">
        <f>+'A.1 PRIHODI'!J36</f>
        <v>80000</v>
      </c>
    </row>
    <row r="16" spans="1:193">
      <c r="A16" s="309">
        <v>52</v>
      </c>
      <c r="B16" s="48" t="s">
        <v>5123</v>
      </c>
      <c r="C16" s="337">
        <f>+'A.2 RASHODI'!K4</f>
        <v>113246</v>
      </c>
      <c r="D16" s="337">
        <f>+'A.2 RASHODI'!K21</f>
        <v>26000</v>
      </c>
      <c r="E16" s="337">
        <f>+'A.2 RASHODI'!K38</f>
        <v>24000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14800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14800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1000</v>
      </c>
      <c r="D28" s="338">
        <f t="shared" ref="D28:E28" si="6">+D29</f>
        <v>2000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1000</v>
      </c>
      <c r="D29" s="337">
        <f>+'A.2 RASHODI'!V21</f>
        <v>2000</v>
      </c>
      <c r="E29" s="337">
        <f>+'A.2 RASHODI'!W38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u3MhVKPzu8X9OITxyX9/dSMCGwCGHvXZ1461X5D23WO1mnq7RtSDcuUWnFTrtpVvuuiRRUYJ5ZbkbAw8NxQj4Q==" saltValue="CtUFHrWEvN0w3SmvhAmOpA==" spinCount="100000" sheet="1" objects="1" scenarios="1"/>
  <mergeCells count="1">
    <mergeCell ref="A1:E1"/>
  </mergeCells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6" activePane="bottomRight" state="frozen"/>
      <selection pane="topRight" activeCell="B1" sqref="B1"/>
      <selection pane="bottomLeft" activeCell="A4" sqref="A4"/>
      <selection pane="bottomRight" activeCell="F70" sqref="F70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8" t="s">
        <v>5141</v>
      </c>
      <c r="B1" s="368"/>
      <c r="C1" s="368"/>
      <c r="D1" s="368"/>
      <c r="E1" s="368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4724946</v>
      </c>
      <c r="D5" s="70">
        <f t="shared" ref="D5:E5" si="0">+D6+D15+D21+D28+D38+D45+D52+D59+D66+D75</f>
        <v>4572043</v>
      </c>
      <c r="E5" s="70">
        <f t="shared" si="0"/>
        <v>4652678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4724946</v>
      </c>
      <c r="D66" s="345">
        <f>SUM(D67:D74)</f>
        <v>4572043</v>
      </c>
      <c r="E66" s="345">
        <f>SUM(E67:E74)</f>
        <v>4652678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4724946</v>
      </c>
      <c r="D70" s="337">
        <f>SUMIF('Unos rashoda i izdataka'!$R$3:$R$501,'A.4 RASHODI FUNK'!$A70,'Unos rashoda i izdataka'!$K$3:$K$501)+SUMIF('Unos rashoda P4'!$T$3:$T$501,'A.4 RASHODI FUNK'!$A70,'Unos rashoda P4'!$I$3:$I$501)</f>
        <v>4572043</v>
      </c>
      <c r="E70" s="337">
        <f>SUMIF('Unos rashoda i izdataka'!$R$3:$R$501,'A.4 RASHODI FUNK'!$A70,'Unos rashoda i izdataka'!$L$3:$L$501)+SUMIF('Unos rashoda P4'!$T$3:$T$501,'A.4 RASHODI FUNK'!$A70,'Unos rashoda P4'!$J$3:$J$501)</f>
        <v>4652678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Klaudija</cp:lastModifiedBy>
  <cp:lastPrinted>2022-11-04T08:31:26Z</cp:lastPrinted>
  <dcterms:created xsi:type="dcterms:W3CDTF">2018-09-10T07:36:17Z</dcterms:created>
  <dcterms:modified xsi:type="dcterms:W3CDTF">2023-02-06T13:24:30Z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